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775" windowHeight="11700"/>
  </bookViews>
  <sheets>
    <sheet name="Title" sheetId="5" r:id="rId1"/>
    <sheet name="Motion 1" sheetId="1" r:id="rId2"/>
    <sheet name="Motion 2" sheetId="21" r:id="rId3"/>
    <sheet name="Motion 3" sheetId="22" r:id="rId4"/>
    <sheet name="Motion 4" sheetId="23" r:id="rId5"/>
    <sheet name="Motion 5" sheetId="24" r:id="rId6"/>
    <sheet name="Motion 6" sheetId="25" r:id="rId7"/>
    <sheet name="Motion 7" sheetId="26" r:id="rId8"/>
    <sheet name="council_members" sheetId="20" r:id="rId9"/>
    <sheet name="drop_down" sheetId="4" r:id="rId10"/>
    <sheet name="admin" sheetId="11" r:id="rId11"/>
    <sheet name="notes" sheetId="12" r:id="rId12"/>
  </sheets>
  <definedNames>
    <definedName name="Motion_Action_Type">drop_down!$B$3:$B$23</definedName>
  </definedNames>
  <calcPr calcId="145621"/>
</workbook>
</file>

<file path=xl/calcChain.xml><?xml version="1.0" encoding="utf-8"?>
<calcChain xmlns="http://schemas.openxmlformats.org/spreadsheetml/2006/main">
  <c r="F82" i="26" l="1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N38" i="26"/>
  <c r="N37" i="26"/>
  <c r="N36" i="26"/>
  <c r="N35" i="26"/>
  <c r="N34" i="26"/>
  <c r="N33" i="26"/>
  <c r="N32" i="26"/>
  <c r="N31" i="26"/>
  <c r="N30" i="26"/>
  <c r="N29" i="26"/>
  <c r="N28" i="26"/>
  <c r="D28" i="26"/>
  <c r="C28" i="26"/>
  <c r="B28" i="26"/>
  <c r="N27" i="26"/>
  <c r="D27" i="26"/>
  <c r="C27" i="26"/>
  <c r="B27" i="26"/>
  <c r="N26" i="26"/>
  <c r="D26" i="26"/>
  <c r="C26" i="26"/>
  <c r="B26" i="26"/>
  <c r="N25" i="26"/>
  <c r="D25" i="26"/>
  <c r="C25" i="26"/>
  <c r="B25" i="26"/>
  <c r="N24" i="26"/>
  <c r="D24" i="26"/>
  <c r="C24" i="26"/>
  <c r="B24" i="26"/>
  <c r="N23" i="26"/>
  <c r="D23" i="26"/>
  <c r="C23" i="26"/>
  <c r="B23" i="26"/>
  <c r="N22" i="26"/>
  <c r="D22" i="26"/>
  <c r="C22" i="26"/>
  <c r="B22" i="26"/>
  <c r="N21" i="26"/>
  <c r="D21" i="26"/>
  <c r="C21" i="26"/>
  <c r="B21" i="26"/>
  <c r="N20" i="26"/>
  <c r="D20" i="26"/>
  <c r="C20" i="26"/>
  <c r="B20" i="26"/>
  <c r="N19" i="26"/>
  <c r="D19" i="26"/>
  <c r="C19" i="26"/>
  <c r="B19" i="26"/>
  <c r="N18" i="26"/>
  <c r="D18" i="26"/>
  <c r="C18" i="26"/>
  <c r="B18" i="26"/>
  <c r="N17" i="26"/>
  <c r="D17" i="26"/>
  <c r="C17" i="26"/>
  <c r="B17" i="26"/>
  <c r="N16" i="26"/>
  <c r="D16" i="26"/>
  <c r="C16" i="26"/>
  <c r="B16" i="26"/>
  <c r="N15" i="26"/>
  <c r="D15" i="26"/>
  <c r="C15" i="26"/>
  <c r="B15" i="26"/>
  <c r="N14" i="26"/>
  <c r="D14" i="26"/>
  <c r="C14" i="26"/>
  <c r="B14" i="26"/>
  <c r="N13" i="26"/>
  <c r="D13" i="26"/>
  <c r="C13" i="26"/>
  <c r="B13" i="26"/>
  <c r="N12" i="26"/>
  <c r="D12" i="26"/>
  <c r="C12" i="26"/>
  <c r="B12" i="26"/>
  <c r="N11" i="26"/>
  <c r="D11" i="26"/>
  <c r="C11" i="26"/>
  <c r="B11" i="26"/>
  <c r="N10" i="26"/>
  <c r="D10" i="26"/>
  <c r="C10" i="26"/>
  <c r="B10" i="26"/>
  <c r="N9" i="26"/>
  <c r="D9" i="26"/>
  <c r="C9" i="26"/>
  <c r="I31" i="26" s="1"/>
  <c r="B9" i="26"/>
  <c r="N8" i="26"/>
  <c r="N7" i="26"/>
  <c r="N6" i="26"/>
  <c r="N5" i="26"/>
  <c r="C5" i="26"/>
  <c r="N4" i="26"/>
  <c r="O4" i="26" s="1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N38" i="25"/>
  <c r="N37" i="25"/>
  <c r="N36" i="25"/>
  <c r="N35" i="25"/>
  <c r="N34" i="25"/>
  <c r="N33" i="25"/>
  <c r="N32" i="25"/>
  <c r="N31" i="25"/>
  <c r="N30" i="25"/>
  <c r="N29" i="25"/>
  <c r="N28" i="25"/>
  <c r="D28" i="25"/>
  <c r="C28" i="25"/>
  <c r="B28" i="25"/>
  <c r="N27" i="25"/>
  <c r="D27" i="25"/>
  <c r="C27" i="25"/>
  <c r="B27" i="25"/>
  <c r="N26" i="25"/>
  <c r="D26" i="25"/>
  <c r="C26" i="25"/>
  <c r="B26" i="25"/>
  <c r="N25" i="25"/>
  <c r="D25" i="25"/>
  <c r="C25" i="25"/>
  <c r="B25" i="25"/>
  <c r="N24" i="25"/>
  <c r="D24" i="25"/>
  <c r="C24" i="25"/>
  <c r="B24" i="25"/>
  <c r="N23" i="25"/>
  <c r="D23" i="25"/>
  <c r="C23" i="25"/>
  <c r="B23" i="25"/>
  <c r="N22" i="25"/>
  <c r="D22" i="25"/>
  <c r="C22" i="25"/>
  <c r="B22" i="25"/>
  <c r="N21" i="25"/>
  <c r="D21" i="25"/>
  <c r="C21" i="25"/>
  <c r="B21" i="25"/>
  <c r="N20" i="25"/>
  <c r="D20" i="25"/>
  <c r="C20" i="25"/>
  <c r="B20" i="25"/>
  <c r="N19" i="25"/>
  <c r="D19" i="25"/>
  <c r="C19" i="25"/>
  <c r="B19" i="25"/>
  <c r="N18" i="25"/>
  <c r="D18" i="25"/>
  <c r="C18" i="25"/>
  <c r="B18" i="25"/>
  <c r="N17" i="25"/>
  <c r="D17" i="25"/>
  <c r="C17" i="25"/>
  <c r="B17" i="25"/>
  <c r="N16" i="25"/>
  <c r="D16" i="25"/>
  <c r="C16" i="25"/>
  <c r="B16" i="25"/>
  <c r="N15" i="25"/>
  <c r="D15" i="25"/>
  <c r="C15" i="25"/>
  <c r="B15" i="25"/>
  <c r="N14" i="25"/>
  <c r="D14" i="25"/>
  <c r="C14" i="25"/>
  <c r="B14" i="25"/>
  <c r="N13" i="25"/>
  <c r="D13" i="25"/>
  <c r="C13" i="25"/>
  <c r="B13" i="25"/>
  <c r="N12" i="25"/>
  <c r="D12" i="25"/>
  <c r="C12" i="25"/>
  <c r="B12" i="25"/>
  <c r="N11" i="25"/>
  <c r="D11" i="25"/>
  <c r="C11" i="25"/>
  <c r="B11" i="25"/>
  <c r="N10" i="25"/>
  <c r="D10" i="25"/>
  <c r="C10" i="25"/>
  <c r="B10" i="25"/>
  <c r="N9" i="25"/>
  <c r="D9" i="25"/>
  <c r="C9" i="25"/>
  <c r="I31" i="25" s="1"/>
  <c r="B9" i="25"/>
  <c r="N8" i="25"/>
  <c r="N7" i="25"/>
  <c r="N6" i="25"/>
  <c r="N5" i="25"/>
  <c r="C5" i="25"/>
  <c r="N4" i="25"/>
  <c r="O4" i="25" s="1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N38" i="24"/>
  <c r="N37" i="24"/>
  <c r="N36" i="24"/>
  <c r="N35" i="24"/>
  <c r="N34" i="24"/>
  <c r="N33" i="24"/>
  <c r="N32" i="24"/>
  <c r="N31" i="24"/>
  <c r="N30" i="24"/>
  <c r="N29" i="24"/>
  <c r="N28" i="24"/>
  <c r="D28" i="24"/>
  <c r="C28" i="24"/>
  <c r="B28" i="24"/>
  <c r="N27" i="24"/>
  <c r="D27" i="24"/>
  <c r="C27" i="24"/>
  <c r="B27" i="24"/>
  <c r="N26" i="24"/>
  <c r="D26" i="24"/>
  <c r="C26" i="24"/>
  <c r="B26" i="24"/>
  <c r="N25" i="24"/>
  <c r="D25" i="24"/>
  <c r="C25" i="24"/>
  <c r="B25" i="24"/>
  <c r="N24" i="24"/>
  <c r="D24" i="24"/>
  <c r="C24" i="24"/>
  <c r="B24" i="24"/>
  <c r="N23" i="24"/>
  <c r="D23" i="24"/>
  <c r="C23" i="24"/>
  <c r="B23" i="24"/>
  <c r="N22" i="24"/>
  <c r="D22" i="24"/>
  <c r="C22" i="24"/>
  <c r="B22" i="24"/>
  <c r="N21" i="24"/>
  <c r="D21" i="24"/>
  <c r="C21" i="24"/>
  <c r="B21" i="24"/>
  <c r="N20" i="24"/>
  <c r="D20" i="24"/>
  <c r="C20" i="24"/>
  <c r="B20" i="24"/>
  <c r="N19" i="24"/>
  <c r="D19" i="24"/>
  <c r="C19" i="24"/>
  <c r="B19" i="24"/>
  <c r="N18" i="24"/>
  <c r="D18" i="24"/>
  <c r="C18" i="24"/>
  <c r="B18" i="24"/>
  <c r="N17" i="24"/>
  <c r="D17" i="24"/>
  <c r="C17" i="24"/>
  <c r="B17" i="24"/>
  <c r="N16" i="24"/>
  <c r="D16" i="24"/>
  <c r="C16" i="24"/>
  <c r="B16" i="24"/>
  <c r="N15" i="24"/>
  <c r="D15" i="24"/>
  <c r="C15" i="24"/>
  <c r="B15" i="24"/>
  <c r="N14" i="24"/>
  <c r="D14" i="24"/>
  <c r="C14" i="24"/>
  <c r="B14" i="24"/>
  <c r="N13" i="24"/>
  <c r="D13" i="24"/>
  <c r="C13" i="24"/>
  <c r="B13" i="24"/>
  <c r="N12" i="24"/>
  <c r="D12" i="24"/>
  <c r="C12" i="24"/>
  <c r="B12" i="24"/>
  <c r="N11" i="24"/>
  <c r="D11" i="24"/>
  <c r="C11" i="24"/>
  <c r="I31" i="24" s="1"/>
  <c r="B11" i="24"/>
  <c r="N10" i="24"/>
  <c r="D10" i="24"/>
  <c r="C10" i="24"/>
  <c r="I32" i="24" s="1"/>
  <c r="B10" i="24"/>
  <c r="N9" i="24"/>
  <c r="D9" i="24"/>
  <c r="C9" i="24"/>
  <c r="G31" i="24" s="1"/>
  <c r="B9" i="24"/>
  <c r="N8" i="24"/>
  <c r="N7" i="24"/>
  <c r="N6" i="24"/>
  <c r="N5" i="24"/>
  <c r="C5" i="24"/>
  <c r="N4" i="24"/>
  <c r="O4" i="24" s="1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N38" i="23"/>
  <c r="N37" i="23"/>
  <c r="N36" i="23"/>
  <c r="N35" i="23"/>
  <c r="N34" i="23"/>
  <c r="N33" i="23"/>
  <c r="N32" i="23"/>
  <c r="N31" i="23"/>
  <c r="N30" i="23"/>
  <c r="N29" i="23"/>
  <c r="N28" i="23"/>
  <c r="D28" i="23"/>
  <c r="C28" i="23"/>
  <c r="B28" i="23"/>
  <c r="N27" i="23"/>
  <c r="D27" i="23"/>
  <c r="C27" i="23"/>
  <c r="B27" i="23"/>
  <c r="N26" i="23"/>
  <c r="D26" i="23"/>
  <c r="C26" i="23"/>
  <c r="B26" i="23"/>
  <c r="N25" i="23"/>
  <c r="D25" i="23"/>
  <c r="C25" i="23"/>
  <c r="B25" i="23"/>
  <c r="N24" i="23"/>
  <c r="D24" i="23"/>
  <c r="C24" i="23"/>
  <c r="B24" i="23"/>
  <c r="N23" i="23"/>
  <c r="D23" i="23"/>
  <c r="C23" i="23"/>
  <c r="B23" i="23"/>
  <c r="N22" i="23"/>
  <c r="D22" i="23"/>
  <c r="C22" i="23"/>
  <c r="B22" i="23"/>
  <c r="N21" i="23"/>
  <c r="D21" i="23"/>
  <c r="C21" i="23"/>
  <c r="B21" i="23"/>
  <c r="N20" i="23"/>
  <c r="D20" i="23"/>
  <c r="C20" i="23"/>
  <c r="B20" i="23"/>
  <c r="N19" i="23"/>
  <c r="D19" i="23"/>
  <c r="C19" i="23"/>
  <c r="B19" i="23"/>
  <c r="N18" i="23"/>
  <c r="D18" i="23"/>
  <c r="C18" i="23"/>
  <c r="B18" i="23"/>
  <c r="N17" i="23"/>
  <c r="D17" i="23"/>
  <c r="C17" i="23"/>
  <c r="B17" i="23"/>
  <c r="N16" i="23"/>
  <c r="D16" i="23"/>
  <c r="C16" i="23"/>
  <c r="B16" i="23"/>
  <c r="N15" i="23"/>
  <c r="D15" i="23"/>
  <c r="C15" i="23"/>
  <c r="B15" i="23"/>
  <c r="N14" i="23"/>
  <c r="D14" i="23"/>
  <c r="C14" i="23"/>
  <c r="B14" i="23"/>
  <c r="N13" i="23"/>
  <c r="D13" i="23"/>
  <c r="C13" i="23"/>
  <c r="B13" i="23"/>
  <c r="N12" i="23"/>
  <c r="D12" i="23"/>
  <c r="C12" i="23"/>
  <c r="B12" i="23"/>
  <c r="N11" i="23"/>
  <c r="D11" i="23"/>
  <c r="C11" i="23"/>
  <c r="B11" i="23"/>
  <c r="N10" i="23"/>
  <c r="D10" i="23"/>
  <c r="C10" i="23"/>
  <c r="B10" i="23"/>
  <c r="N9" i="23"/>
  <c r="D9" i="23"/>
  <c r="C9" i="23"/>
  <c r="I31" i="23" s="1"/>
  <c r="B9" i="23"/>
  <c r="N8" i="23"/>
  <c r="N7" i="23"/>
  <c r="N6" i="23"/>
  <c r="N5" i="23"/>
  <c r="C5" i="23"/>
  <c r="N4" i="23"/>
  <c r="O4" i="23" s="1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N38" i="22"/>
  <c r="N37" i="22"/>
  <c r="N36" i="22"/>
  <c r="N35" i="22"/>
  <c r="N34" i="22"/>
  <c r="N33" i="22"/>
  <c r="N32" i="22"/>
  <c r="N31" i="22"/>
  <c r="H31" i="22"/>
  <c r="G31" i="22"/>
  <c r="F31" i="22"/>
  <c r="N30" i="22"/>
  <c r="N29" i="22"/>
  <c r="N28" i="22"/>
  <c r="D28" i="22"/>
  <c r="C28" i="22"/>
  <c r="B28" i="22"/>
  <c r="N27" i="22"/>
  <c r="D27" i="22"/>
  <c r="C27" i="22"/>
  <c r="B27" i="22"/>
  <c r="N26" i="22"/>
  <c r="D26" i="22"/>
  <c r="C26" i="22"/>
  <c r="B26" i="22"/>
  <c r="N25" i="22"/>
  <c r="D25" i="22"/>
  <c r="C25" i="22"/>
  <c r="B25" i="22"/>
  <c r="N24" i="22"/>
  <c r="D24" i="22"/>
  <c r="C24" i="22"/>
  <c r="B24" i="22"/>
  <c r="N23" i="22"/>
  <c r="D23" i="22"/>
  <c r="C23" i="22"/>
  <c r="B23" i="22"/>
  <c r="N22" i="22"/>
  <c r="D22" i="22"/>
  <c r="C22" i="22"/>
  <c r="B22" i="22"/>
  <c r="N21" i="22"/>
  <c r="D21" i="22"/>
  <c r="C21" i="22"/>
  <c r="B21" i="22"/>
  <c r="N20" i="22"/>
  <c r="D20" i="22"/>
  <c r="C20" i="22"/>
  <c r="B20" i="22"/>
  <c r="N19" i="22"/>
  <c r="D19" i="22"/>
  <c r="C19" i="22"/>
  <c r="B19" i="22"/>
  <c r="N18" i="22"/>
  <c r="D18" i="22"/>
  <c r="C18" i="22"/>
  <c r="B18" i="22"/>
  <c r="N17" i="22"/>
  <c r="D17" i="22"/>
  <c r="C17" i="22"/>
  <c r="B17" i="22"/>
  <c r="N16" i="22"/>
  <c r="D16" i="22"/>
  <c r="C16" i="22"/>
  <c r="B16" i="22"/>
  <c r="N15" i="22"/>
  <c r="D15" i="22"/>
  <c r="C15" i="22"/>
  <c r="B15" i="22"/>
  <c r="N14" i="22"/>
  <c r="D14" i="22"/>
  <c r="C14" i="22"/>
  <c r="B14" i="22"/>
  <c r="N13" i="22"/>
  <c r="D13" i="22"/>
  <c r="C13" i="22"/>
  <c r="B13" i="22"/>
  <c r="N12" i="22"/>
  <c r="D12" i="22"/>
  <c r="C12" i="22"/>
  <c r="B12" i="22"/>
  <c r="N11" i="22"/>
  <c r="D11" i="22"/>
  <c r="C11" i="22"/>
  <c r="B11" i="22"/>
  <c r="N10" i="22"/>
  <c r="D10" i="22"/>
  <c r="C10" i="22"/>
  <c r="B10" i="22"/>
  <c r="N9" i="22"/>
  <c r="D9" i="22"/>
  <c r="C9" i="22"/>
  <c r="I31" i="22" s="1"/>
  <c r="B9" i="22"/>
  <c r="N8" i="22"/>
  <c r="N7" i="22"/>
  <c r="N6" i="22"/>
  <c r="N5" i="22"/>
  <c r="C5" i="22"/>
  <c r="N4" i="22"/>
  <c r="O4" i="22" s="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N38" i="21"/>
  <c r="N37" i="21"/>
  <c r="N36" i="21"/>
  <c r="N35" i="21"/>
  <c r="N34" i="21"/>
  <c r="N33" i="21"/>
  <c r="N32" i="21"/>
  <c r="G32" i="21"/>
  <c r="F32" i="21"/>
  <c r="N31" i="21"/>
  <c r="G31" i="21"/>
  <c r="N30" i="21"/>
  <c r="N29" i="21"/>
  <c r="N28" i="21"/>
  <c r="D28" i="21"/>
  <c r="C28" i="21"/>
  <c r="B28" i="21"/>
  <c r="N27" i="21"/>
  <c r="D27" i="21"/>
  <c r="C27" i="21"/>
  <c r="B27" i="21"/>
  <c r="N26" i="21"/>
  <c r="D26" i="21"/>
  <c r="C26" i="21"/>
  <c r="B26" i="21"/>
  <c r="N25" i="21"/>
  <c r="D25" i="21"/>
  <c r="C25" i="21"/>
  <c r="B25" i="21"/>
  <c r="N24" i="21"/>
  <c r="D24" i="21"/>
  <c r="C24" i="21"/>
  <c r="B24" i="21"/>
  <c r="N23" i="21"/>
  <c r="D23" i="21"/>
  <c r="C23" i="21"/>
  <c r="B23" i="21"/>
  <c r="N22" i="21"/>
  <c r="D22" i="21"/>
  <c r="C22" i="21"/>
  <c r="B22" i="21"/>
  <c r="N21" i="21"/>
  <c r="D21" i="21"/>
  <c r="C21" i="21"/>
  <c r="B21" i="21"/>
  <c r="N20" i="21"/>
  <c r="D20" i="21"/>
  <c r="C20" i="21"/>
  <c r="B20" i="21"/>
  <c r="N19" i="21"/>
  <c r="D19" i="21"/>
  <c r="C19" i="21"/>
  <c r="B19" i="21"/>
  <c r="N18" i="21"/>
  <c r="D18" i="21"/>
  <c r="C18" i="21"/>
  <c r="B18" i="21"/>
  <c r="N17" i="21"/>
  <c r="D17" i="21"/>
  <c r="C17" i="21"/>
  <c r="B17" i="21"/>
  <c r="N16" i="21"/>
  <c r="D16" i="21"/>
  <c r="C16" i="21"/>
  <c r="B16" i="21"/>
  <c r="N15" i="21"/>
  <c r="D15" i="21"/>
  <c r="C15" i="21"/>
  <c r="B15" i="21"/>
  <c r="N14" i="21"/>
  <c r="D14" i="21"/>
  <c r="C14" i="21"/>
  <c r="B14" i="21"/>
  <c r="N13" i="21"/>
  <c r="D13" i="21"/>
  <c r="C13" i="21"/>
  <c r="B13" i="21"/>
  <c r="N12" i="21"/>
  <c r="D12" i="21"/>
  <c r="C12" i="21"/>
  <c r="B12" i="21"/>
  <c r="N11" i="21"/>
  <c r="D11" i="21"/>
  <c r="C11" i="21"/>
  <c r="B11" i="21"/>
  <c r="N10" i="21"/>
  <c r="D10" i="21"/>
  <c r="C10" i="21"/>
  <c r="B10" i="21"/>
  <c r="N9" i="21"/>
  <c r="D9" i="21"/>
  <c r="C9" i="21"/>
  <c r="H31" i="21" s="1"/>
  <c r="B9" i="21"/>
  <c r="N8" i="21"/>
  <c r="N7" i="21"/>
  <c r="N6" i="21"/>
  <c r="N5" i="21"/>
  <c r="C5" i="21"/>
  <c r="N4" i="2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O4" i="21" l="1"/>
  <c r="G67" i="26"/>
  <c r="H67" i="26" s="1"/>
  <c r="G66" i="26"/>
  <c r="H66" i="26" s="1"/>
  <c r="G71" i="26"/>
  <c r="H71" i="26" s="1"/>
  <c r="G64" i="26"/>
  <c r="H64" i="26" s="1"/>
  <c r="G68" i="26"/>
  <c r="H68" i="26" s="1"/>
  <c r="G63" i="26"/>
  <c r="H63" i="26" s="1"/>
  <c r="G73" i="25"/>
  <c r="H73" i="25" s="1"/>
  <c r="G70" i="26"/>
  <c r="H70" i="26" s="1"/>
  <c r="G63" i="25"/>
  <c r="H63" i="25" s="1"/>
  <c r="G82" i="26"/>
  <c r="H82" i="26" s="1"/>
  <c r="G76" i="25"/>
  <c r="H76" i="25" s="1"/>
  <c r="G73" i="26"/>
  <c r="H73" i="26" s="1"/>
  <c r="G65" i="25"/>
  <c r="H65" i="25" s="1"/>
  <c r="G77" i="25"/>
  <c r="H77" i="25" s="1"/>
  <c r="G68" i="25"/>
  <c r="H68" i="25" s="1"/>
  <c r="G77" i="26"/>
  <c r="H77" i="26" s="1"/>
  <c r="G65" i="24"/>
  <c r="H65" i="24" s="1"/>
  <c r="G77" i="24"/>
  <c r="H77" i="24" s="1"/>
  <c r="G69" i="25"/>
  <c r="H69" i="25" s="1"/>
  <c r="G81" i="25"/>
  <c r="H81" i="25" s="1"/>
  <c r="G69" i="26"/>
  <c r="H69" i="26" s="1"/>
  <c r="G81" i="26"/>
  <c r="H81" i="26" s="1"/>
  <c r="F32" i="26"/>
  <c r="G75" i="26"/>
  <c r="H75" i="26" s="1"/>
  <c r="G79" i="26"/>
  <c r="H79" i="26" s="1"/>
  <c r="G32" i="26"/>
  <c r="G70" i="25"/>
  <c r="H70" i="25" s="1"/>
  <c r="G78" i="25"/>
  <c r="H78" i="25" s="1"/>
  <c r="H32" i="26"/>
  <c r="I32" i="26"/>
  <c r="G72" i="26"/>
  <c r="H72" i="26" s="1"/>
  <c r="G76" i="26"/>
  <c r="H76" i="26" s="1"/>
  <c r="G80" i="26"/>
  <c r="H80" i="26" s="1"/>
  <c r="G71" i="25"/>
  <c r="H71" i="25" s="1"/>
  <c r="G79" i="25"/>
  <c r="H79" i="25" s="1"/>
  <c r="G64" i="25"/>
  <c r="H64" i="25" s="1"/>
  <c r="G72" i="25"/>
  <c r="H72" i="25" s="1"/>
  <c r="G80" i="25"/>
  <c r="H80" i="25" s="1"/>
  <c r="F31" i="26"/>
  <c r="G31" i="26"/>
  <c r="G65" i="26"/>
  <c r="H65" i="26" s="1"/>
  <c r="H31" i="26"/>
  <c r="G66" i="25"/>
  <c r="H66" i="25" s="1"/>
  <c r="G74" i="25"/>
  <c r="H74" i="25" s="1"/>
  <c r="G82" i="25"/>
  <c r="H82" i="25" s="1"/>
  <c r="G75" i="25"/>
  <c r="H75" i="25" s="1"/>
  <c r="G74" i="26"/>
  <c r="H74" i="26" s="1"/>
  <c r="G78" i="26"/>
  <c r="H78" i="26" s="1"/>
  <c r="G67" i="25"/>
  <c r="H67" i="25" s="1"/>
  <c r="G70" i="24"/>
  <c r="H70" i="24" s="1"/>
  <c r="G79" i="23"/>
  <c r="H79" i="23" s="1"/>
  <c r="G72" i="24"/>
  <c r="H72" i="24" s="1"/>
  <c r="G73" i="24"/>
  <c r="H73" i="24" s="1"/>
  <c r="G82" i="24"/>
  <c r="H82" i="24" s="1"/>
  <c r="G67" i="23"/>
  <c r="H67" i="23" s="1"/>
  <c r="G80" i="23"/>
  <c r="H80" i="23" s="1"/>
  <c r="G74" i="24"/>
  <c r="H74" i="24" s="1"/>
  <c r="F32" i="25"/>
  <c r="G75" i="24"/>
  <c r="H75" i="24" s="1"/>
  <c r="G32" i="25"/>
  <c r="G71" i="23"/>
  <c r="H71" i="23" s="1"/>
  <c r="G63" i="24"/>
  <c r="H63" i="24" s="1"/>
  <c r="G72" i="23"/>
  <c r="H72" i="23" s="1"/>
  <c r="G64" i="24"/>
  <c r="H64" i="24" s="1"/>
  <c r="G76" i="24"/>
  <c r="H76" i="24" s="1"/>
  <c r="H32" i="25"/>
  <c r="I32" i="25"/>
  <c r="G66" i="24"/>
  <c r="H66" i="24" s="1"/>
  <c r="G78" i="24"/>
  <c r="H78" i="24" s="1"/>
  <c r="G63" i="23"/>
  <c r="H63" i="23" s="1"/>
  <c r="G75" i="23"/>
  <c r="H75" i="23" s="1"/>
  <c r="G67" i="24"/>
  <c r="H67" i="24" s="1"/>
  <c r="G79" i="24"/>
  <c r="H79" i="24" s="1"/>
  <c r="F31" i="25"/>
  <c r="G76" i="23"/>
  <c r="H76" i="23" s="1"/>
  <c r="G80" i="24"/>
  <c r="H80" i="24" s="1"/>
  <c r="G64" i="23"/>
  <c r="H64" i="23" s="1"/>
  <c r="G68" i="24"/>
  <c r="H68" i="24" s="1"/>
  <c r="G31" i="25"/>
  <c r="G69" i="24"/>
  <c r="H69" i="24" s="1"/>
  <c r="G81" i="24"/>
  <c r="H81" i="24" s="1"/>
  <c r="H31" i="25"/>
  <c r="G71" i="24"/>
  <c r="H71" i="24" s="1"/>
  <c r="G68" i="23"/>
  <c r="H68" i="23" s="1"/>
  <c r="F32" i="24"/>
  <c r="D32" i="24" s="1"/>
  <c r="C32" i="24" s="1"/>
  <c r="G69" i="23"/>
  <c r="H69" i="23" s="1"/>
  <c r="G77" i="23"/>
  <c r="H77" i="23" s="1"/>
  <c r="G32" i="24"/>
  <c r="H32" i="24"/>
  <c r="G70" i="23"/>
  <c r="H70" i="23" s="1"/>
  <c r="G78" i="23"/>
  <c r="H78" i="23" s="1"/>
  <c r="F31" i="24"/>
  <c r="G65" i="23"/>
  <c r="H65" i="23" s="1"/>
  <c r="G73" i="23"/>
  <c r="H73" i="23" s="1"/>
  <c r="G81" i="23"/>
  <c r="H81" i="23" s="1"/>
  <c r="H31" i="24"/>
  <c r="G82" i="23"/>
  <c r="H82" i="23" s="1"/>
  <c r="G66" i="23"/>
  <c r="H66" i="23" s="1"/>
  <c r="G74" i="23"/>
  <c r="H74" i="23" s="1"/>
  <c r="F32" i="23"/>
  <c r="G32" i="23"/>
  <c r="H32" i="23"/>
  <c r="I32" i="23"/>
  <c r="F31" i="23"/>
  <c r="D31" i="23" s="1"/>
  <c r="G31" i="23"/>
  <c r="H31" i="23"/>
  <c r="G69" i="22"/>
  <c r="H69" i="22" s="1"/>
  <c r="G70" i="22"/>
  <c r="H70" i="22" s="1"/>
  <c r="G82" i="22"/>
  <c r="H82" i="22" s="1"/>
  <c r="G80" i="22"/>
  <c r="H80" i="22" s="1"/>
  <c r="G81" i="22"/>
  <c r="H81" i="22" s="1"/>
  <c r="G72" i="22"/>
  <c r="H72" i="22" s="1"/>
  <c r="G73" i="22"/>
  <c r="H73" i="22" s="1"/>
  <c r="G68" i="22"/>
  <c r="H68" i="22" s="1"/>
  <c r="G74" i="22"/>
  <c r="H74" i="22" s="1"/>
  <c r="G76" i="22"/>
  <c r="H76" i="22" s="1"/>
  <c r="G65" i="22"/>
  <c r="H65" i="22" s="1"/>
  <c r="G77" i="22"/>
  <c r="H77" i="22" s="1"/>
  <c r="G64" i="22"/>
  <c r="H64" i="22" s="1"/>
  <c r="G66" i="22"/>
  <c r="H66" i="22" s="1"/>
  <c r="G78" i="22"/>
  <c r="H78" i="22" s="1"/>
  <c r="D31" i="22"/>
  <c r="F32" i="22"/>
  <c r="G75" i="22"/>
  <c r="H75" i="22" s="1"/>
  <c r="G63" i="22"/>
  <c r="H63" i="22" s="1"/>
  <c r="G67" i="22"/>
  <c r="H67" i="22" s="1"/>
  <c r="G71" i="22"/>
  <c r="H71" i="22" s="1"/>
  <c r="G79" i="22"/>
  <c r="H79" i="22" s="1"/>
  <c r="G67" i="21"/>
  <c r="H67" i="21" s="1"/>
  <c r="G75" i="21"/>
  <c r="H75" i="21" s="1"/>
  <c r="G32" i="22"/>
  <c r="H32" i="22"/>
  <c r="I32" i="22"/>
  <c r="G69" i="21"/>
  <c r="H69" i="21" s="1"/>
  <c r="G68" i="21"/>
  <c r="H68" i="21" s="1"/>
  <c r="G79" i="21"/>
  <c r="H79" i="21" s="1"/>
  <c r="G81" i="21"/>
  <c r="H81" i="21" s="1"/>
  <c r="G72" i="21"/>
  <c r="H72" i="21" s="1"/>
  <c r="G73" i="21"/>
  <c r="H73" i="21" s="1"/>
  <c r="G65" i="21"/>
  <c r="H65" i="21" s="1"/>
  <c r="G76" i="21"/>
  <c r="H76" i="21" s="1"/>
  <c r="G77" i="21"/>
  <c r="H77" i="21" s="1"/>
  <c r="G70" i="21"/>
  <c r="H70" i="21" s="1"/>
  <c r="G63" i="21"/>
  <c r="H63" i="21" s="1"/>
  <c r="G64" i="21"/>
  <c r="H64" i="21" s="1"/>
  <c r="G71" i="21"/>
  <c r="H71" i="21" s="1"/>
  <c r="G78" i="21"/>
  <c r="H78" i="21" s="1"/>
  <c r="G66" i="21"/>
  <c r="H66" i="21" s="1"/>
  <c r="G80" i="21"/>
  <c r="H80" i="21" s="1"/>
  <c r="G74" i="21"/>
  <c r="H74" i="21" s="1"/>
  <c r="G82" i="21"/>
  <c r="H82" i="21" s="1"/>
  <c r="I31" i="21"/>
  <c r="H32" i="21"/>
  <c r="D32" i="21" s="1"/>
  <c r="C32" i="21" s="1"/>
  <c r="I32" i="21"/>
  <c r="F31" i="21"/>
  <c r="D31" i="21" s="1"/>
  <c r="D31" i="26" l="1"/>
  <c r="D32" i="26"/>
  <c r="C32" i="26" s="1"/>
  <c r="D32" i="25"/>
  <c r="C32" i="25" s="1"/>
  <c r="D31" i="25"/>
  <c r="D31" i="24"/>
  <c r="C31" i="23"/>
  <c r="D32" i="23"/>
  <c r="C32" i="23" s="1"/>
  <c r="D32" i="22"/>
  <c r="C32" i="22" s="1"/>
  <c r="C31" i="22"/>
  <c r="C6" i="22"/>
  <c r="C31" i="21"/>
  <c r="N31" i="1"/>
  <c r="N30" i="1"/>
  <c r="C31" i="26" l="1"/>
  <c r="C6" i="26"/>
  <c r="C31" i="25"/>
  <c r="C6" i="25"/>
  <c r="C31" i="24"/>
  <c r="C6" i="24"/>
  <c r="C6" i="23"/>
  <c r="F31" i="1"/>
  <c r="G31" i="1"/>
  <c r="F32" i="1"/>
  <c r="G32" i="1"/>
  <c r="N4" i="1"/>
  <c r="N5" i="1"/>
  <c r="N12" i="1"/>
  <c r="N13" i="1"/>
  <c r="N14" i="1"/>
  <c r="N17" i="1"/>
  <c r="N18" i="1"/>
  <c r="N19" i="1"/>
  <c r="N20" i="1"/>
  <c r="N21" i="1"/>
  <c r="N22" i="1"/>
  <c r="N23" i="1"/>
  <c r="C5" i="1"/>
  <c r="H32" i="1"/>
  <c r="I32" i="1"/>
  <c r="H31" i="1"/>
  <c r="I31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D32" i="1" l="1"/>
  <c r="C32" i="1" s="1"/>
  <c r="D31" i="1"/>
  <c r="G68" i="1"/>
  <c r="H68" i="1" s="1"/>
  <c r="G63" i="1"/>
  <c r="H63" i="1" s="1"/>
  <c r="G72" i="1"/>
  <c r="H72" i="1" s="1"/>
  <c r="G76" i="1"/>
  <c r="H76" i="1" s="1"/>
  <c r="G80" i="1"/>
  <c r="H80" i="1" s="1"/>
  <c r="G70" i="1"/>
  <c r="H70" i="1" s="1"/>
  <c r="G82" i="1"/>
  <c r="H82" i="1" s="1"/>
  <c r="G66" i="1"/>
  <c r="H66" i="1" s="1"/>
  <c r="G74" i="1"/>
  <c r="H74" i="1" s="1"/>
  <c r="G78" i="1"/>
  <c r="H78" i="1" s="1"/>
  <c r="G64" i="1"/>
  <c r="H64" i="1" s="1"/>
  <c r="G65" i="1"/>
  <c r="H65" i="1" s="1"/>
  <c r="G77" i="1"/>
  <c r="H77" i="1" s="1"/>
  <c r="G75" i="1"/>
  <c r="H75" i="1" s="1"/>
  <c r="G71" i="1"/>
  <c r="H71" i="1" s="1"/>
  <c r="G69" i="1"/>
  <c r="H69" i="1" s="1"/>
  <c r="G81" i="1"/>
  <c r="H81" i="1" s="1"/>
  <c r="G73" i="1"/>
  <c r="H73" i="1" s="1"/>
  <c r="G79" i="1"/>
  <c r="H79" i="1" s="1"/>
  <c r="G67" i="1"/>
  <c r="H67" i="1" s="1"/>
  <c r="N38" i="1" l="1"/>
  <c r="N8" i="1"/>
  <c r="N16" i="1"/>
  <c r="N9" i="1"/>
  <c r="N15" i="1"/>
  <c r="N35" i="1"/>
  <c r="N34" i="1"/>
  <c r="N36" i="1"/>
  <c r="N37" i="1"/>
  <c r="N32" i="1"/>
  <c r="N33" i="1"/>
  <c r="N29" i="1"/>
  <c r="N28" i="1"/>
  <c r="N27" i="1"/>
  <c r="N26" i="1"/>
  <c r="N25" i="1"/>
  <c r="N24" i="1"/>
  <c r="C31" i="1"/>
  <c r="N11" i="1"/>
  <c r="N10" i="1"/>
  <c r="N7" i="1"/>
  <c r="N6" i="1"/>
  <c r="O4" i="1" l="1"/>
  <c r="C6" i="1" s="1"/>
</calcChain>
</file>

<file path=xl/comments1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2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3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4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5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6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comments7.xml><?xml version="1.0" encoding="utf-8"?>
<comments xmlns="http://schemas.openxmlformats.org/spreadsheetml/2006/main">
  <authors>
    <author>Berry Cobb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Berry Cobb:</t>
        </r>
        <r>
          <rPr>
            <sz val="9"/>
            <color indexed="81"/>
            <rFont val="Tahoma"/>
            <family val="2"/>
          </rPr>
          <t xml:space="preserve">
The Outcome field defaults to "</t>
        </r>
        <r>
          <rPr>
            <sz val="9"/>
            <color indexed="10"/>
            <rFont val="Tahoma"/>
            <family val="2"/>
          </rPr>
          <t>FAIL</t>
        </r>
        <r>
          <rPr>
            <sz val="9"/>
            <color indexed="81"/>
            <rFont val="Tahoma"/>
            <family val="2"/>
          </rPr>
          <t xml:space="preserve">".
If the motion passes based on motion type and appropriate </t>
        </r>
        <r>
          <rPr>
            <u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 votes, it will automatically change to "</t>
        </r>
        <r>
          <rPr>
            <sz val="9"/>
            <color indexed="17"/>
            <rFont val="Tahoma"/>
            <family val="2"/>
          </rPr>
          <t>PASS</t>
        </r>
        <r>
          <rPr>
            <sz val="9"/>
            <color indexed="81"/>
            <rFont val="Tahoma"/>
            <family val="2"/>
          </rPr>
          <t>"
If a motion is "DEFERRED" or "</t>
        </r>
        <r>
          <rPr>
            <sz val="9"/>
            <color indexed="53"/>
            <rFont val="Tahoma"/>
            <family val="2"/>
          </rPr>
          <t>WITHDRAWN</t>
        </r>
        <r>
          <rPr>
            <sz val="9"/>
            <color indexed="81"/>
            <rFont val="Tahoma"/>
            <family val="2"/>
          </rPr>
          <t>" it should be manually entered as such into cell C6.</t>
        </r>
      </text>
    </comment>
  </commentList>
</comments>
</file>

<file path=xl/sharedStrings.xml><?xml version="1.0" encoding="utf-8"?>
<sst xmlns="http://schemas.openxmlformats.org/spreadsheetml/2006/main" count="546" uniqueCount="120">
  <si>
    <t>RySG</t>
  </si>
  <si>
    <t>RrSG</t>
  </si>
  <si>
    <t>CSG</t>
  </si>
  <si>
    <t>NCSG</t>
  </si>
  <si>
    <t>Vote Count</t>
  </si>
  <si>
    <t>Order</t>
  </si>
  <si>
    <t>Seq</t>
  </si>
  <si>
    <t>Rand()</t>
  </si>
  <si>
    <t>Result</t>
  </si>
  <si>
    <t>Static</t>
  </si>
  <si>
    <t>CPH</t>
  </si>
  <si>
    <t>NCA</t>
  </si>
  <si>
    <t>NCPH</t>
  </si>
  <si>
    <t>CPH Total</t>
  </si>
  <si>
    <t>NCPH Total</t>
  </si>
  <si>
    <t>GNSO Council Members</t>
  </si>
  <si>
    <t>PROTECTED AREA - DO NOT CHANGE</t>
  </si>
  <si>
    <t>Volker Greimann</t>
  </si>
  <si>
    <t>David Cake</t>
  </si>
  <si>
    <t xml:space="preserve">James Bladel </t>
  </si>
  <si>
    <t>Amr Elsadr</t>
  </si>
  <si>
    <t>Donna Austin</t>
  </si>
  <si>
    <t>Marilia Maciel</t>
  </si>
  <si>
    <t>Stephanie Perrin</t>
  </si>
  <si>
    <t>Edward Morris</t>
  </si>
  <si>
    <t>Heather Forrest (IPC)</t>
  </si>
  <si>
    <t>Susan Kawaguchi (BC)</t>
  </si>
  <si>
    <t>Philip Corwin (BC)</t>
  </si>
  <si>
    <t>Create Issue Report</t>
  </si>
  <si>
    <t>Initiate PDP Not Within Scope</t>
  </si>
  <si>
    <t>Amendment to an Approved PDP Team Charter</t>
  </si>
  <si>
    <t>Terminate a PDP</t>
  </si>
  <si>
    <t>Approve PDP Recommendation Imposing New Obligations on Certain Contracting Parties</t>
  </si>
  <si>
    <t>House</t>
  </si>
  <si>
    <t xml:space="preserve">Hsu Phen Valerie Tan </t>
  </si>
  <si>
    <t>Keith Drazek</t>
  </si>
  <si>
    <t>Rubens Kuhl</t>
  </si>
  <si>
    <t>Stefania Milan</t>
  </si>
  <si>
    <t>Paul McGrady (IPC)</t>
  </si>
  <si>
    <t>Anthony Harris (ISPCP)</t>
  </si>
  <si>
    <t>Wolf-Ulrich Knoben (ISPCP)</t>
  </si>
  <si>
    <t>S-Group</t>
  </si>
  <si>
    <t>Yes</t>
  </si>
  <si>
    <t>No</t>
  </si>
  <si>
    <t>Abstain</t>
  </si>
  <si>
    <t>Absent</t>
  </si>
  <si>
    <t>Comment/Proxy/Alternate/Reason</t>
  </si>
  <si>
    <t>Title of Motion:</t>
  </si>
  <si>
    <t>Motion / Action Type:</t>
  </si>
  <si>
    <t>Initiate PDP Within Scope</t>
  </si>
  <si>
    <t>Approve PDP Team Charter for PDP Within Scope</t>
  </si>
  <si>
    <t>Approve PDP Team Charter for PDP Not Within Scope</t>
  </si>
  <si>
    <t>Approve PDP Recommendation Without GNSO Super Majority</t>
  </si>
  <si>
    <t>Approve PDP Recommendation With GNSO Super Majority</t>
  </si>
  <si>
    <t>Modify or Amend an Approved PDP Recommendation</t>
  </si>
  <si>
    <t>Motion_Action_Type</t>
  </si>
  <si>
    <t>Percent</t>
  </si>
  <si>
    <t>CkSum Total</t>
  </si>
  <si>
    <t>Logic</t>
  </si>
  <si>
    <t>Create Issue Report - &gt;1/2 from one</t>
  </si>
  <si>
    <t>Create Issue Report - &gt;1/4 from both</t>
  </si>
  <si>
    <t>Initiate PDP Within Scope - &gt;1/3 from both</t>
  </si>
  <si>
    <t>Initiate PDP Within Scope - &gt;2/3 from one</t>
  </si>
  <si>
    <t>Initiate PDP Not Within Scope - &gt;=2/3 from both</t>
  </si>
  <si>
    <t>Initiate PDP Not Within Scope - &gt;=3/4 from one AND &gt;1/2 from one</t>
  </si>
  <si>
    <t>Approve PDP Team Charter for PDP Within Scope - &gt;1/3 from both</t>
  </si>
  <si>
    <t>Approve PDP Team Charter for PDP Within Scope - &gt;2/3 from one</t>
  </si>
  <si>
    <t>Approve PDP Team Charter for PDP Not Within Scope - &gt;=3/4 from one AND &gt;1/2 from one</t>
  </si>
  <si>
    <t>Approve PDP Team Charter for PDP Not Within Scope - &gt;=2/3 from both</t>
  </si>
  <si>
    <t>Terminate a PDP - &gt;=2/3 from both</t>
  </si>
  <si>
    <t>Terminate a PDP - &gt;=3/4 from one AND &gt;1/2 from one</t>
  </si>
  <si>
    <t>Approve PDP Recommendation With GNSO Super Majority - &gt;=2/3 from both</t>
  </si>
  <si>
    <t>Amendment to an Approved PDP Team Charter - &gt;1/2 from Both</t>
  </si>
  <si>
    <t>Approve PDP Recommendation Without GNSO Super Majority - &gt;1/2 from Both</t>
  </si>
  <si>
    <t>Approve PDP Recommendation With GNSO Super Majority - &gt;=3/4 from one AND &gt;1/2 from one</t>
  </si>
  <si>
    <t>Approve PDP Recommendation Imposing New Obligations on Certain Contracting Parties - &gt;=2/3 from both</t>
  </si>
  <si>
    <t>Approve PDP Recommendation Imposing New Obligations on Certain Contracting Parties - &gt;=3/4 from one AND &gt;1/2 from one</t>
  </si>
  <si>
    <t>Modify or Amend an Approved PDP Recommendation - &gt;=3/4 from one AND &gt;1/2 from one</t>
  </si>
  <si>
    <t>Modify or Amend an Approved PDP Recommendation - &gt;=2/3 from both</t>
  </si>
  <si>
    <t>Motion Date:</t>
  </si>
  <si>
    <t>Maker &amp; Second of Motion:</t>
  </si>
  <si>
    <t>&lt;Select Motion Type&gt;</t>
  </si>
  <si>
    <t>All Other (Default)</t>
  </si>
  <si>
    <t>All Other (Default) - &gt;1/2 from Both</t>
  </si>
  <si>
    <t>Johan Helsingius</t>
  </si>
  <si>
    <t>DATE:</t>
  </si>
  <si>
    <t xml:space="preserve"> [Sheet Protect PW: GNSO]</t>
  </si>
  <si>
    <t>[ENTER Motion Title]</t>
  </si>
  <si>
    <t>[ENTER Maker &amp; Second of Motion]</t>
  </si>
  <si>
    <t>Outcome:</t>
  </si>
  <si>
    <t>Initiate an Expedited PDP (EPDP)</t>
  </si>
  <si>
    <t>Approve EPDP Charter</t>
  </si>
  <si>
    <t>Approve EPDP Recommendations</t>
  </si>
  <si>
    <t>Approve EPDP Recommendations Imposing New Obligations on Certain Contracting Parties</t>
  </si>
  <si>
    <t>Initiate GNSO Guidance Process (GGP)</t>
  </si>
  <si>
    <t>Reject Initiation of GGP Requested by the ICANN Board</t>
  </si>
  <si>
    <t>Approve GGP Recommendations</t>
  </si>
  <si>
    <t>Initiate an Expedited PDP (EPDP) - &gt;=2/3 from both</t>
  </si>
  <si>
    <t>Initiate an Expedited PDP (EPDP) - &gt;=3/4 from one AND &gt;1/2 from one</t>
  </si>
  <si>
    <t>Approve EPDP Charter - &gt;=2/3 from both</t>
  </si>
  <si>
    <t>Approve EPDP Charter - &gt;=3/4 from one AND &gt;1/2 from one</t>
  </si>
  <si>
    <t>Approve EPDP Recommendations - &gt;=2/3 from both</t>
  </si>
  <si>
    <t>Approve EPDP Recommendations - &gt;=3/4 from one AND &gt;1/2 from one</t>
  </si>
  <si>
    <t>Motion Type Threshold Rules</t>
  </si>
  <si>
    <t>Approve EPDP Recommendations Imposing New Obligations on Certain Contracting Parties - &gt;=2/3 from both</t>
  </si>
  <si>
    <t>Approve EPDP Recommendations Imposing New Obligations on Certain Contracting Parties - &gt;=3/4 from one AND &gt;1/2 from one</t>
  </si>
  <si>
    <t>Initiate GNSO Guidance Process (GGP) - &gt;1/3 from both</t>
  </si>
  <si>
    <t>Initiate GNSO Guidance Process (GGP) - &gt;2/3 from one</t>
  </si>
  <si>
    <t>Reject Initiation of GGP Requested by the ICANN Board - &gt;=2/3 from both</t>
  </si>
  <si>
    <t>Reject Initiation of GGP Requested by the ICANN Board - &gt;=3/4 from one AND &gt;1/2 from one</t>
  </si>
  <si>
    <t>Approve GGP Recommendations - &gt;=2/3 from both</t>
  </si>
  <si>
    <t>Approve GGP Recommendations - &gt;=3/4 from one AND &gt;1/2 from one</t>
  </si>
  <si>
    <t>Darcy Southwell</t>
  </si>
  <si>
    <t>APPROVE A PROPOSED FINAL FRAMEWORK FOR FUTURE CROSS COMMUNITY WORKING GROUPS</t>
  </si>
  <si>
    <t>Proxy to Wolf-Ulrich Knoben</t>
  </si>
  <si>
    <t>Proxy to Marilia Maciel</t>
  </si>
  <si>
    <t>Deferred</t>
  </si>
  <si>
    <t>APPROVE THE REPORT FROM THE GNSO BYLAWS IMPLEMENTATION DRAFTING TEAM</t>
  </si>
  <si>
    <t>James Bladel; Rubens Kuhl</t>
  </si>
  <si>
    <t>Donna Austin; Rubens Kuhl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</si>
</sst>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.0%"/>
    <numFmt numFmtId="166" formatCode="[$-F800]dddd\,\ mmmm\ dd\,\ yyyy"/>
  </numFmts>
  <fonts count="3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C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24"/>
      <color rgb="FFF2F2F2"/>
      <name val="Source Sans Pro"/>
    </font>
    <font>
      <b/>
      <sz val="24"/>
      <color rgb="FFF2F2F2"/>
      <name val="Calibri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9"/>
      <color indexed="10"/>
      <name val="Tahoma"/>
      <family val="2"/>
    </font>
    <font>
      <sz val="9"/>
      <color indexed="17"/>
      <name val="Tahoma"/>
      <family val="2"/>
    </font>
    <font>
      <sz val="9"/>
      <color indexed="5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4" fillId="0" borderId="0" xfId="0" applyFont="1" applyFill="1" applyBorder="1" applyAlignment="1">
      <alignment horizontal="center"/>
    </xf>
    <xf numFmtId="0" fontId="4" fillId="1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10" fillId="0" borderId="0" xfId="0" applyFont="1"/>
    <xf numFmtId="0" fontId="11" fillId="1" borderId="0" xfId="0" applyFont="1" applyFill="1" applyAlignment="1">
      <alignment horizontal="center"/>
    </xf>
    <xf numFmtId="0" fontId="11" fillId="0" borderId="0" xfId="0" applyFont="1" applyProtection="1"/>
    <xf numFmtId="0" fontId="11" fillId="0" borderId="0" xfId="0" applyFont="1"/>
    <xf numFmtId="0" fontId="10" fillId="1" borderId="0" xfId="0" applyFont="1" applyFill="1" applyAlignment="1">
      <alignment horizontal="center"/>
    </xf>
    <xf numFmtId="0" fontId="10" fillId="0" borderId="0" xfId="0" applyFont="1" applyProtection="1"/>
    <xf numFmtId="0" fontId="4" fillId="0" borderId="0" xfId="0" applyFont="1" applyAlignment="1">
      <alignment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1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1" borderId="0" xfId="0" applyFont="1" applyFill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 indent="2"/>
    </xf>
    <xf numFmtId="0" fontId="14" fillId="0" borderId="0" xfId="0" applyFont="1"/>
    <xf numFmtId="164" fontId="11" fillId="0" borderId="0" xfId="0" applyNumberFormat="1" applyFont="1" applyAlignment="1" applyProtection="1">
      <alignment horizontal="left" vertical="center"/>
      <protection locked="0"/>
    </xf>
    <xf numFmtId="49" fontId="4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0" fillId="0" borderId="0" xfId="0" applyFont="1" applyAlignment="1" applyProtection="1">
      <alignment vertical="center"/>
    </xf>
    <xf numFmtId="10" fontId="15" fillId="4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/>
    </xf>
    <xf numFmtId="0" fontId="19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6" fontId="2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53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ill>
        <patternFill>
          <bgColor rgb="FFFF7C8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180975</xdr:rowOff>
    </xdr:from>
    <xdr:to>
      <xdr:col>36</xdr:col>
      <xdr:colOff>559593</xdr:colOff>
      <xdr:row>15</xdr:row>
      <xdr:rowOff>128905</xdr:rowOff>
    </xdr:to>
    <xdr:sp macro="" textlink="">
      <xdr:nvSpPr>
        <xdr:cNvPr id="2" name="Rectangle 1"/>
        <xdr:cNvSpPr/>
      </xdr:nvSpPr>
      <xdr:spPr>
        <a:xfrm>
          <a:off x="0" y="1538288"/>
          <a:ext cx="22419468" cy="2043430"/>
        </a:xfrm>
        <a:prstGeom prst="rect">
          <a:avLst/>
        </a:prstGeom>
        <a:solidFill>
          <a:srgbClr val="1768B1"/>
        </a:solidFill>
        <a:ln>
          <a:noFill/>
        </a:ln>
        <a:effectLst/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  <a:ext uri="{C572A759-6A51-4108-AA02-DFA0A04FC94B}">
            <ma14:wrappingTextBox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561975</xdr:colOff>
      <xdr:row>0</xdr:row>
      <xdr:rowOff>0</xdr:rowOff>
    </xdr:from>
    <xdr:to>
      <xdr:col>10</xdr:col>
      <xdr:colOff>527050</xdr:colOff>
      <xdr:row>5</xdr:row>
      <xdr:rowOff>164465</xdr:rowOff>
    </xdr:to>
    <xdr:sp macro="" textlink="">
      <xdr:nvSpPr>
        <xdr:cNvPr id="3" name="Rectangle 2"/>
        <xdr:cNvSpPr/>
      </xdr:nvSpPr>
      <xdr:spPr>
        <a:xfrm flipH="1" flipV="1">
          <a:off x="6586220" y="12700"/>
          <a:ext cx="1184275" cy="1707515"/>
        </a:xfrm>
        <a:prstGeom prst="rect">
          <a:avLst/>
        </a:prstGeom>
        <a:solidFill>
          <a:srgbClr val="0A3251"/>
        </a:solidFill>
        <a:ln>
          <a:noFill/>
        </a:ln>
        <a:effectLst/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  <a:ext uri="{C572A759-6A51-4108-AA02-DFA0A04FC94B}">
            <ma14:wrappingTextBox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36</xdr:col>
      <xdr:colOff>559594</xdr:colOff>
      <xdr:row>5</xdr:row>
      <xdr:rowOff>164465</xdr:rowOff>
    </xdr:to>
    <xdr:sp macro="" textlink="">
      <xdr:nvSpPr>
        <xdr:cNvPr id="4" name="Rectangle 3"/>
        <xdr:cNvSpPr/>
      </xdr:nvSpPr>
      <xdr:spPr>
        <a:xfrm>
          <a:off x="0" y="0"/>
          <a:ext cx="22419469" cy="1712278"/>
        </a:xfrm>
        <a:prstGeom prst="rect">
          <a:avLst/>
        </a:prstGeom>
        <a:solidFill>
          <a:srgbClr val="0A3251"/>
        </a:solidFill>
        <a:ln>
          <a:noFill/>
        </a:ln>
        <a:effectLst/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  <a:ext uri="{C572A759-6A51-4108-AA02-DFA0A04FC94B}">
            <ma14:wrappingTextBox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416708</xdr:colOff>
      <xdr:row>0</xdr:row>
      <xdr:rowOff>238120</xdr:rowOff>
    </xdr:from>
    <xdr:to>
      <xdr:col>4</xdr:col>
      <xdr:colOff>176201</xdr:colOff>
      <xdr:row>4</xdr:row>
      <xdr:rowOff>142870</xdr:rowOff>
    </xdr:to>
    <xdr:pic>
      <xdr:nvPicPr>
        <xdr:cNvPr id="5" name="Picture 8" descr="JUPO-4850:Users:julio.polito:Dropbox (icann.org):_Works:082 GNSO Report Template:_Ref:Report:GNSO_Logo_Whi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4" y="238120"/>
          <a:ext cx="4641056" cy="126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369095</xdr:colOff>
      <xdr:row>6</xdr:row>
      <xdr:rowOff>23814</xdr:rowOff>
    </xdr:from>
    <xdr:to>
      <xdr:col>7</xdr:col>
      <xdr:colOff>83345</xdr:colOff>
      <xdr:row>16</xdr:row>
      <xdr:rowOff>190501</xdr:rowOff>
    </xdr:to>
    <xdr:sp macro="" textlink="">
      <xdr:nvSpPr>
        <xdr:cNvPr id="2050" name="Text Box 10"/>
        <xdr:cNvSpPr txBox="1">
          <a:spLocks noChangeArrowheads="1"/>
        </xdr:cNvSpPr>
      </xdr:nvSpPr>
      <xdr:spPr bwMode="auto">
        <a:xfrm>
          <a:off x="369095" y="1762127"/>
          <a:ext cx="7858125" cy="2071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5400" b="1" i="0" u="none" strike="noStrike" baseline="0">
              <a:solidFill>
                <a:srgbClr val="F2F2F2"/>
              </a:solidFill>
              <a:latin typeface="Source Sans Pro"/>
            </a:rPr>
            <a:t>GNSO Council</a:t>
          </a:r>
        </a:p>
        <a:p>
          <a:pPr algn="ctr" rtl="0">
            <a:defRPr sz="1000"/>
          </a:pPr>
          <a:r>
            <a:rPr lang="en-US" sz="5400" b="1" i="0" u="none" strike="noStrike" baseline="0">
              <a:solidFill>
                <a:srgbClr val="F2F2F2"/>
              </a:solidFill>
              <a:latin typeface="Source Sans Pro"/>
            </a:rPr>
            <a:t>Motion Recorder</a:t>
          </a:r>
        </a:p>
        <a:p>
          <a:pPr algn="ctr" rtl="0">
            <a:defRPr sz="1000"/>
          </a:pPr>
          <a:r>
            <a:rPr lang="en-US" sz="5400" b="1" i="0" u="none" strike="noStrike" baseline="0">
              <a:solidFill>
                <a:srgbClr val="F2F2F2"/>
              </a:solidFill>
              <a:latin typeface="Source Sans Pro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</xdr:row>
      <xdr:rowOff>171449</xdr:rowOff>
    </xdr:from>
    <xdr:to>
      <xdr:col>19</xdr:col>
      <xdr:colOff>47625</xdr:colOff>
      <xdr:row>37</xdr:row>
      <xdr:rowOff>180974</xdr:rowOff>
    </xdr:to>
    <xdr:sp macro="" textlink="">
      <xdr:nvSpPr>
        <xdr:cNvPr id="2" name="TextBox 1"/>
        <xdr:cNvSpPr txBox="1"/>
      </xdr:nvSpPr>
      <xdr:spPr>
        <a:xfrm>
          <a:off x="981075" y="742949"/>
          <a:ext cx="10648950" cy="6486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 Add New Motion Types:</a:t>
          </a:r>
        </a:p>
        <a:p>
          <a:r>
            <a:rPr lang="en-US" sz="1100"/>
            <a:t>**In general, you want to make all changes to the tab of</a:t>
          </a:r>
          <a:r>
            <a:rPr lang="en-US" sz="1100" baseline="0"/>
            <a:t> Motion 1, and then once validated the changes work as designed, the entire sheet  can just be copy/pasted across the other motion # tabs to propogate the change.</a:t>
          </a:r>
          <a:endParaRPr lang="en-US" sz="1100"/>
        </a:p>
        <a:p>
          <a:endParaRPr lang="en-US" sz="1100"/>
        </a:p>
        <a:p>
          <a:r>
            <a:rPr lang="en-US" sz="1100"/>
            <a:t>1) Add</a:t>
          </a:r>
          <a:r>
            <a:rPr lang="en-US" sz="1100" baseline="0"/>
            <a:t> the formal motion type name to the drop_down tab.  Make sure entries are within the bounds of the Data Validation attribute on cell C4 of Motion 1 tab.  Verfiry that you can see the new motion types available in the drop down menu</a:t>
          </a:r>
        </a:p>
        <a:p>
          <a:endParaRPr lang="en-US" sz="1100" baseline="0"/>
        </a:p>
        <a:p>
          <a:r>
            <a:rPr lang="en-US" sz="1100" baseline="0"/>
            <a:t>2) Update the rules table on M3:</a:t>
          </a:r>
        </a:p>
        <a:p>
          <a:r>
            <a:rPr lang="en-US" sz="1100" baseline="0"/>
            <a:t>*** Note that the logic columns of N&amp;O are hidden so they are not printed to PDF.  Unhide those, and be sure to hide them again after validation.</a:t>
          </a:r>
        </a:p>
        <a:p>
          <a:endParaRPr lang="en-US" sz="1100" baseline="0"/>
        </a:p>
        <a:p>
          <a:r>
            <a:rPr lang="en-US" sz="1100" baseline="0"/>
            <a:t> - It is best to copy paste/insert of an existing rule that matches the same threshold as the new motion type.  This will expedite the update required for the new motion type logic.</a:t>
          </a:r>
        </a:p>
        <a:p>
          <a:endParaRPr lang="en-US" sz="1100" baseline="0"/>
        </a:p>
        <a:p>
          <a:r>
            <a:rPr lang="en-US" sz="1100" baseline="0"/>
            <a:t>- Replace the name of the motion type in cell M(x) with that of the motion type name.</a:t>
          </a:r>
        </a:p>
        <a:p>
          <a:endParaRPr lang="en-US" sz="1100" baseline="0"/>
        </a:p>
        <a:p>
          <a:r>
            <a:rPr lang="en-US" sz="1100" baseline="0"/>
            <a:t>- Update the Conditional Formating of the same cell M(x) with that of the motion type name.</a:t>
          </a:r>
        </a:p>
        <a:p>
          <a:endParaRPr lang="en-US" sz="1100" baseline="0"/>
        </a:p>
        <a:p>
          <a:r>
            <a:rPr lang="en-US" sz="1100" baseline="0"/>
            <a:t>- Update cell N(x) with that of the motion type name.</a:t>
          </a:r>
        </a:p>
        <a:p>
          <a:endParaRPr lang="en-US" sz="1100" baseline="0"/>
        </a:p>
        <a:p>
          <a:r>
            <a:rPr lang="en-US" sz="1100" baseline="0"/>
            <a:t>- Update the Conditional Formating on cells C31 &amp; C32 to correspond to each motion type.</a:t>
          </a:r>
        </a:p>
        <a:p>
          <a:endParaRPr lang="en-US" sz="1100" baseline="0"/>
        </a:p>
        <a:p>
          <a:r>
            <a:rPr lang="en-US" sz="1100" baseline="0"/>
            <a:t>*** Remember, in some cases, two rows will have to be used on motions that contain -OR- conditions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C17"/>
  <sheetViews>
    <sheetView showGridLines="0" showRowColHeaders="0" tabSelected="1" zoomScale="150" zoomScaleNormal="150" workbookViewId="0">
      <selection activeCell="C17" sqref="C17"/>
    </sheetView>
  </sheetViews>
  <sheetFormatPr defaultRowHeight="15"/>
  <cols>
    <col min="2" max="2" width="12.5703125" customWidth="1"/>
    <col min="3" max="3" width="64.140625" customWidth="1"/>
  </cols>
  <sheetData>
    <row r="1" spans="1:1" ht="31.5">
      <c r="A1" s="69"/>
    </row>
    <row r="2" spans="1:1" ht="30">
      <c r="A2" s="68"/>
    </row>
    <row r="3" spans="1:1" ht="30">
      <c r="A3" s="68"/>
    </row>
    <row r="17" spans="2:3" ht="58.5" customHeight="1">
      <c r="B17" s="70" t="s">
        <v>85</v>
      </c>
      <c r="C17" s="71">
        <v>42656</v>
      </c>
    </row>
  </sheetData>
  <sheetProtection password="DD5C" sheet="1" objects="1" scenarios="1"/>
  <pageMargins left="0.2" right="0.2" top="0.25" bottom="0.25" header="0.3" footer="0.3"/>
  <pageSetup scale="3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4.9989318521683403E-2"/>
  </sheetPr>
  <dimension ref="B3:B23"/>
  <sheetViews>
    <sheetView showGridLines="0" workbookViewId="0">
      <selection activeCell="B3" sqref="B3"/>
    </sheetView>
  </sheetViews>
  <sheetFormatPr defaultRowHeight="15"/>
  <cols>
    <col min="2" max="2" width="104.5703125" customWidth="1"/>
  </cols>
  <sheetData>
    <row r="3" spans="2:2">
      <c r="B3" s="46" t="s">
        <v>55</v>
      </c>
    </row>
    <row r="4" spans="2:2">
      <c r="B4" t="s">
        <v>81</v>
      </c>
    </row>
    <row r="5" spans="2:2">
      <c r="B5" t="s">
        <v>28</v>
      </c>
    </row>
    <row r="6" spans="2:2">
      <c r="B6" t="s">
        <v>49</v>
      </c>
    </row>
    <row r="7" spans="2:2">
      <c r="B7" t="s">
        <v>29</v>
      </c>
    </row>
    <row r="8" spans="2:2">
      <c r="B8" t="s">
        <v>50</v>
      </c>
    </row>
    <row r="9" spans="2:2">
      <c r="B9" t="s">
        <v>51</v>
      </c>
    </row>
    <row r="10" spans="2:2">
      <c r="B10" t="s">
        <v>30</v>
      </c>
    </row>
    <row r="11" spans="2:2">
      <c r="B11" t="s">
        <v>31</v>
      </c>
    </row>
    <row r="12" spans="2:2">
      <c r="B12" t="s">
        <v>52</v>
      </c>
    </row>
    <row r="13" spans="2:2">
      <c r="B13" t="s">
        <v>53</v>
      </c>
    </row>
    <row r="14" spans="2:2">
      <c r="B14" t="s">
        <v>32</v>
      </c>
    </row>
    <row r="15" spans="2:2">
      <c r="B15" t="s">
        <v>54</v>
      </c>
    </row>
    <row r="16" spans="2:2">
      <c r="B16" t="s">
        <v>90</v>
      </c>
    </row>
    <row r="17" spans="2:2">
      <c r="B17" t="s">
        <v>91</v>
      </c>
    </row>
    <row r="18" spans="2:2">
      <c r="B18" t="s">
        <v>92</v>
      </c>
    </row>
    <row r="19" spans="2:2">
      <c r="B19" t="s">
        <v>93</v>
      </c>
    </row>
    <row r="20" spans="2:2">
      <c r="B20" t="s">
        <v>94</v>
      </c>
    </row>
    <row r="21" spans="2:2">
      <c r="B21" t="s">
        <v>95</v>
      </c>
    </row>
    <row r="22" spans="2:2">
      <c r="B22" t="s">
        <v>96</v>
      </c>
    </row>
    <row r="23" spans="2:2">
      <c r="B23" t="s">
        <v>82</v>
      </c>
    </row>
  </sheetData>
  <sheetProtection password="C991" sheet="1" objects="1" scenarios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C5"/>
  <sheetViews>
    <sheetView showGridLines="0" workbookViewId="0"/>
  </sheetViews>
  <sheetFormatPr defaultRowHeight="15"/>
  <sheetData>
    <row r="5" spans="3:3">
      <c r="C5" t="s">
        <v>86</v>
      </c>
    </row>
  </sheetData>
  <sheetProtection password="C991" sheet="1" objects="1" scenarios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RowHeight="15"/>
  <sheetData/>
  <pageMargins left="0.2" right="0.2" top="0.25" bottom="0.25" header="0.3" footer="0.3"/>
  <pageSetup scale="74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113</v>
      </c>
      <c r="D2" s="90"/>
      <c r="E2" s="90"/>
      <c r="F2" s="90"/>
      <c r="G2" s="90"/>
      <c r="H2" s="90"/>
      <c r="I2" s="90"/>
      <c r="J2" s="90"/>
      <c r="K2" s="90"/>
      <c r="L2" s="78"/>
      <c r="M2" s="74"/>
      <c r="N2" s="74"/>
      <c r="O2" s="74"/>
      <c r="P2" s="74"/>
      <c r="Q2" s="74"/>
      <c r="R2" s="74"/>
      <c r="S2" s="74"/>
    </row>
    <row r="3" spans="1:19" s="22" customFormat="1" ht="25.5" customHeight="1">
      <c r="B3" s="45" t="s">
        <v>80</v>
      </c>
      <c r="C3" s="89" t="s">
        <v>119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82</v>
      </c>
      <c r="D4" s="90"/>
      <c r="E4" s="90"/>
      <c r="F4" s="90"/>
      <c r="G4" s="90"/>
      <c r="H4" s="90"/>
      <c r="I4" s="90"/>
      <c r="J4" s="44"/>
      <c r="K4" s="44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1</v>
      </c>
      <c r="P4" s="25"/>
      <c r="Q4" s="25"/>
    </row>
    <row r="5" spans="1:19" s="3" customFormat="1" ht="25.5" customHeight="1">
      <c r="B5" s="45" t="s">
        <v>79</v>
      </c>
      <c r="C5" s="92">
        <f>Title!C17</f>
        <v>42656</v>
      </c>
      <c r="D5" s="93"/>
      <c r="E5" s="47"/>
      <c r="F5" s="47"/>
      <c r="G5" s="47"/>
      <c r="H5" s="47"/>
      <c r="I5" s="47"/>
      <c r="J5" s="76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PASS</v>
      </c>
      <c r="D6" s="98"/>
      <c r="E6" s="49"/>
      <c r="F6" s="49"/>
      <c r="G6" s="48"/>
      <c r="H6" s="48"/>
      <c r="I6" s="48"/>
      <c r="J6" s="76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>
        <v>1</v>
      </c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>
        <v>1</v>
      </c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>
        <v>1</v>
      </c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>
        <v>1</v>
      </c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>
        <v>1</v>
      </c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>
        <v>1</v>
      </c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>
        <v>1</v>
      </c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>
        <v>1</v>
      </c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>
        <v>1</v>
      </c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>
        <v>1</v>
      </c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>
        <v>1</v>
      </c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>
        <v>1</v>
      </c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>
        <v>1</v>
      </c>
      <c r="G21" s="31"/>
      <c r="H21" s="31"/>
      <c r="I21" s="28"/>
      <c r="J21" s="34"/>
      <c r="K21" s="72" t="s">
        <v>114</v>
      </c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>
        <v>1</v>
      </c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>
        <v>1</v>
      </c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>
        <v>1</v>
      </c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>
        <v>1</v>
      </c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>
        <v>1</v>
      </c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>
        <v>1</v>
      </c>
      <c r="G27" s="27"/>
      <c r="H27" s="27"/>
      <c r="I27" s="28"/>
      <c r="J27" s="29"/>
      <c r="K27" s="72" t="s">
        <v>115</v>
      </c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>
        <v>1</v>
      </c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1</v>
      </c>
      <c r="D31" s="59">
        <f>SUM(F31:I31)</f>
        <v>7</v>
      </c>
      <c r="E31" s="60"/>
      <c r="F31" s="60">
        <f>SUMIF($C9:$C28,"CPH",F9:F28)</f>
        <v>7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1</v>
      </c>
      <c r="D32" s="59">
        <f>SUM(F32:I32)</f>
        <v>13</v>
      </c>
      <c r="E32" s="60"/>
      <c r="F32" s="60">
        <f>SUMIF($C9:$C28,"NCPH",F9:F28)</f>
        <v>13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1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0.45751874797625514</v>
      </c>
      <c r="G63" s="5">
        <f t="shared" ref="G63:G82" ca="1" si="1">INDEX($E$63:$E$82,RANK(F63,$F$63:$F$82))</f>
        <v>10</v>
      </c>
      <c r="H63" s="13">
        <f ca="1">G63</f>
        <v>10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5.1782342084110922E-2</v>
      </c>
      <c r="G64" s="5">
        <f t="shared" ca="1" si="1"/>
        <v>20</v>
      </c>
      <c r="H64" s="13">
        <f t="shared" ref="H64:H82" ca="1" si="2">G64</f>
        <v>20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0.37812612208012697</v>
      </c>
      <c r="G65" s="5">
        <f t="shared" ca="1" si="1"/>
        <v>11</v>
      </c>
      <c r="H65" s="13">
        <f t="shared" ca="1" si="2"/>
        <v>11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0.90695274611975996</v>
      </c>
      <c r="G66" s="5">
        <f t="shared" ca="1" si="1"/>
        <v>1</v>
      </c>
      <c r="H66" s="13">
        <f t="shared" ca="1" si="2"/>
        <v>1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0.50819614176418726</v>
      </c>
      <c r="G67" s="5">
        <f t="shared" ca="1" si="1"/>
        <v>8</v>
      </c>
      <c r="H67" s="13">
        <f t="shared" ca="1" si="2"/>
        <v>8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0.86652733018421468</v>
      </c>
      <c r="G68" s="5">
        <f t="shared" ca="1" si="1"/>
        <v>3</v>
      </c>
      <c r="H68" s="13">
        <f t="shared" ca="1" si="2"/>
        <v>3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0.50093792504644563</v>
      </c>
      <c r="G69" s="5">
        <f t="shared" ca="1" si="1"/>
        <v>9</v>
      </c>
      <c r="H69" s="13">
        <f t="shared" ca="1" si="2"/>
        <v>9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0.19598826759339816</v>
      </c>
      <c r="G70" s="5">
        <f t="shared" ca="1" si="1"/>
        <v>15</v>
      </c>
      <c r="H70" s="13">
        <f t="shared" ca="1" si="2"/>
        <v>15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0.64975903391448031</v>
      </c>
      <c r="G71" s="5">
        <f t="shared" ca="1" si="1"/>
        <v>4</v>
      </c>
      <c r="H71" s="13">
        <f t="shared" ca="1" si="2"/>
        <v>4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5.8307081951759376E-2</v>
      </c>
      <c r="G72" s="5">
        <f t="shared" ca="1" si="1"/>
        <v>18</v>
      </c>
      <c r="H72" s="13">
        <f t="shared" ca="1" si="2"/>
        <v>18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0.88203030143711281</v>
      </c>
      <c r="G73" s="5">
        <f t="shared" ca="1" si="1"/>
        <v>2</v>
      </c>
      <c r="H73" s="13">
        <f t="shared" ca="1" si="2"/>
        <v>2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0.1235208639127634</v>
      </c>
      <c r="G74" s="5">
        <f t="shared" ca="1" si="1"/>
        <v>17</v>
      </c>
      <c r="H74" s="13">
        <f t="shared" ca="1" si="2"/>
        <v>17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5.4801324559518694E-2</v>
      </c>
      <c r="G75" s="5">
        <f t="shared" ca="1" si="1"/>
        <v>19</v>
      </c>
      <c r="H75" s="13">
        <f t="shared" ca="1" si="2"/>
        <v>19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0.32965189507936177</v>
      </c>
      <c r="G76" s="5">
        <f t="shared" ca="1" si="1"/>
        <v>12</v>
      </c>
      <c r="H76" s="13">
        <f t="shared" ca="1" si="2"/>
        <v>12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0.18804815851215539</v>
      </c>
      <c r="G77" s="5">
        <f t="shared" ca="1" si="1"/>
        <v>16</v>
      </c>
      <c r="H77" s="13">
        <f t="shared" ca="1" si="2"/>
        <v>16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0.31284166777818223</v>
      </c>
      <c r="G78" s="5">
        <f t="shared" ca="1" si="1"/>
        <v>14</v>
      </c>
      <c r="H78" s="13">
        <f t="shared" ca="1" si="2"/>
        <v>14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0.52274284243528069</v>
      </c>
      <c r="G79" s="5">
        <f t="shared" ca="1" si="1"/>
        <v>7</v>
      </c>
      <c r="H79" s="13">
        <f t="shared" ca="1" si="2"/>
        <v>7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0.3295592709765971</v>
      </c>
      <c r="G80" s="5">
        <f t="shared" ca="1" si="1"/>
        <v>13</v>
      </c>
      <c r="H80" s="13">
        <f t="shared" ca="1" si="2"/>
        <v>13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0.6183334932589013</v>
      </c>
      <c r="G81" s="5">
        <f t="shared" ca="1" si="1"/>
        <v>5</v>
      </c>
      <c r="H81" s="13">
        <f t="shared" ca="1" si="2"/>
        <v>5</v>
      </c>
    </row>
    <row r="82" spans="2:8" s="1" customFormat="1" ht="15.75" hidden="1">
      <c r="C82" s="2"/>
      <c r="D82" s="2"/>
      <c r="E82" s="5">
        <v>20</v>
      </c>
      <c r="F82" s="5">
        <f t="shared" ca="1" si="0"/>
        <v>0.558705178986456</v>
      </c>
      <c r="G82" s="5">
        <f t="shared" ca="1" si="1"/>
        <v>6</v>
      </c>
      <c r="H82" s="13">
        <f t="shared" ca="1" si="2"/>
        <v>6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2:K2"/>
    <mergeCell ref="C61:I61"/>
    <mergeCell ref="C4:I4"/>
    <mergeCell ref="C5:D5"/>
    <mergeCell ref="F7:I7"/>
    <mergeCell ref="C6:D6"/>
    <mergeCell ref="C3:K3"/>
  </mergeCells>
  <conditionalFormatting sqref="B9">
    <cfRule type="expression" dxfId="531" priority="179" stopIfTrue="1">
      <formula>SUM(F9:I9)=0</formula>
    </cfRule>
    <cfRule type="expression" dxfId="530" priority="180" stopIfTrue="1">
      <formula>SUM(F9:I9)&gt;1</formula>
    </cfRule>
  </conditionalFormatting>
  <conditionalFormatting sqref="D31">
    <cfRule type="cellIs" dxfId="529" priority="123" stopIfTrue="1" operator="equal">
      <formula>7</formula>
    </cfRule>
    <cfRule type="cellIs" dxfId="528" priority="124" stopIfTrue="1" operator="lessThan">
      <formula>7</formula>
    </cfRule>
  </conditionalFormatting>
  <conditionalFormatting sqref="D32">
    <cfRule type="cellIs" dxfId="527" priority="121" stopIfTrue="1" operator="equal">
      <formula>13</formula>
    </cfRule>
    <cfRule type="cellIs" dxfId="526" priority="122" stopIfTrue="1" operator="lessThan">
      <formula>13</formula>
    </cfRule>
  </conditionalFormatting>
  <conditionalFormatting sqref="B10:B28">
    <cfRule type="expression" dxfId="525" priority="85" stopIfTrue="1">
      <formula>SUM(F10:I10)=0</formula>
    </cfRule>
    <cfRule type="expression" dxfId="524" priority="86" stopIfTrue="1">
      <formula>SUM(F10:I10)&gt;1</formula>
    </cfRule>
  </conditionalFormatting>
  <conditionalFormatting sqref="C31">
    <cfRule type="expression" dxfId="523" priority="84">
      <formula>IF($C$4="All Other (Default)",IF($F$31/$D$31&gt;0.5,1,0),0)</formula>
    </cfRule>
    <cfRule type="expression" dxfId="522" priority="8">
      <formula>IF($C$4="Create Issue Report",IF($F$31/$D$31&gt;0.25,1,0),0)</formula>
    </cfRule>
    <cfRule type="expression" dxfId="521" priority="9">
      <formula>IF($C$4="Initiate PDP Within Scope",IF($F$31/$D$31&gt;0.333,1,0),0)</formula>
    </cfRule>
    <cfRule type="expression" dxfId="520" priority="10">
      <formula>IF($C$4="Initiate PDP Not Within Scope",IF($F$31/$D$31&gt;0.5,1,0),0)</formula>
    </cfRule>
    <cfRule type="expression" dxfId="519" priority="11">
      <formula>IF($C$4="Approve PDP Team Charter for PDP Within Scope",IF($F$31/$D$31&gt;0.333,1,0),0)</formula>
    </cfRule>
    <cfRule type="expression" dxfId="518" priority="12">
      <formula>IF($C$4="Approve PDP Team Charter for PDP Not Within Scope",IF($F$31/$D$31&gt;0.5,1,0),0)</formula>
    </cfRule>
    <cfRule type="expression" dxfId="517" priority="13">
      <formula>IF($C$4="Amendment to an Approved PDP Team Charter",IF($F$31/$D$31&gt;0.5,1,0),0)</formula>
    </cfRule>
    <cfRule type="expression" dxfId="516" priority="14">
      <formula>IF($C$4="Terminate a PDP",IF($F$31/$D$31&gt;0.5,1,0),0)</formula>
    </cfRule>
    <cfRule type="expression" dxfId="515" priority="31">
      <formula>IF($C$4="Approve PDP Recommendation Without GNSO Super Majority",IF($F$31/$D$31&gt;0.5,1,0),0)</formula>
    </cfRule>
    <cfRule type="expression" dxfId="514" priority="42">
      <formula>IF($C$4="Approve PDP Recommendation With GNSO Super Majority",IF($F$31/$D$31&gt;0.5,1,0),0)</formula>
    </cfRule>
    <cfRule type="expression" dxfId="513" priority="43">
      <formula>IF($C$4="Approve PDP Recommendation Imposing New Obligations on Certain Contracting Parties",IF($F$31/$D$31&gt;0.5,1,0),0)</formula>
    </cfRule>
    <cfRule type="expression" dxfId="512" priority="44">
      <formula>IF($C$4="Modify or Amend an Approved PDP Recommendation",IF($F$31/$D$31&gt;0.5,1,0),0)</formula>
    </cfRule>
    <cfRule type="expression" dxfId="511" priority="45">
      <formula>IF($C$4="Initiate an Expedited PDP (EPDP)",IF($F$31/$D$31&gt;0.5,1,0),0)</formula>
    </cfRule>
    <cfRule type="expression" dxfId="510" priority="46">
      <formula>IF($C$4="Approve EPDP Charter",IF($F$31/$D$31&gt;0.5,1,0),0)</formula>
    </cfRule>
    <cfRule type="expression" dxfId="509" priority="47">
      <formula>IF($C$4="Approve EPDP Recommendations",IF($F$31/$D$31&gt;0.5,1,0),0)</formula>
    </cfRule>
    <cfRule type="expression" dxfId="508" priority="48">
      <formula>IF($C$4="Approve EPDP Recommendations Imposing New Obligations on Certain Contracting Parties",IF($F$31/$D$31&gt;0.5,1,0),0)</formula>
    </cfRule>
    <cfRule type="expression" dxfId="507" priority="49">
      <formula>IF($C$4="Initiate GNSO Guidance Process (GGP)",IF($F$31/$D$31&gt;0.33,1,0),0)</formula>
    </cfRule>
    <cfRule type="expression" dxfId="506" priority="72">
      <formula>IF($C$4="Reject Initiation of GGP Requested by the ICANN Board",IF($F$31/$D$31&gt;0.5,1,0),0)</formula>
    </cfRule>
    <cfRule type="expression" dxfId="505" priority="76">
      <formula>IF($C$4="Approve GGP Recommendations",IF($F$31/$D$31&gt;0.5,1,0),0)</formula>
    </cfRule>
  </conditionalFormatting>
  <conditionalFormatting sqref="C32">
    <cfRule type="expression" dxfId="504" priority="83">
      <formula>IF($C$4="All Other (Default)",IF($F$32/$D$32&gt;0.5,1,0),0)</formula>
    </cfRule>
    <cfRule type="expression" dxfId="503" priority="1">
      <formula>IF($C$4="Create Issue Report",IF($F$32/$D$32&gt;0.25,1,0),0)</formula>
    </cfRule>
    <cfRule type="expression" dxfId="502" priority="2">
      <formula>IF($C$4="Initiate PDP Within Scope",IF($F$32/$D$32&gt;0.333,1,0),0)</formula>
    </cfRule>
    <cfRule type="expression" dxfId="501" priority="3">
      <formula>IF($C$4="Initiate PDP Not Within Scope",IF($F$32/$D$32&gt;0.5,1,0),0)</formula>
    </cfRule>
    <cfRule type="expression" dxfId="500" priority="4">
      <formula>IF($C$4="Approve PDP Team Charter for PDP Within Scope",IF($F$32/$D$32&gt;0.333,1,0),0)</formula>
    </cfRule>
    <cfRule type="expression" dxfId="499" priority="5">
      <formula>IF($C$4="Approve PDP Team Charter for PDP Not Within Scope",IF($F$32/$D$32&gt;0.5,1,0),0)</formula>
    </cfRule>
    <cfRule type="expression" dxfId="498" priority="6">
      <formula>IF($C$4="Amendment to an Approved PDP Team Charter",IF($F$32/$D$32&gt;0.5,1,0),0)</formula>
    </cfRule>
    <cfRule type="expression" dxfId="497" priority="7">
      <formula>IF($C$4="Terminate a PDP",IF($F$32/$D$32&gt;0.5,1,0),0)</formula>
    </cfRule>
    <cfRule type="expression" dxfId="496" priority="30">
      <formula>IF($C$4="Approve PDP Recommendation Without GNSO Super Majority",IF($F$32/$D$32&gt;0.5,1,0),0)</formula>
    </cfRule>
    <cfRule type="expression" dxfId="495" priority="34">
      <formula>IF($C$4="Approve PDP Recommendation With GNSO Super Majority",IF($F$32/$D$32&gt;0.5,1,0),0)</formula>
    </cfRule>
    <cfRule type="expression" dxfId="494" priority="35">
      <formula>IF($C$4="Approve PDP Recommendation Imposing New Obligations on Certain Contracting Parties",IF($F$32/$D$32&gt;0.5,1,0),0)</formula>
    </cfRule>
    <cfRule type="expression" dxfId="493" priority="36">
      <formula>IF($C$4="Modify or Amend an Approved PDP Recommendation",IF($F$32/$D$32&gt;0.5,1,0),0)</formula>
    </cfRule>
    <cfRule type="expression" dxfId="492" priority="37">
      <formula>IF($C$4="Initiate an Expedited PDP (EPDP)",IF($F$32/$D$32&gt;0.5,1,0),0)</formula>
    </cfRule>
    <cfRule type="expression" dxfId="491" priority="38">
      <formula>IF($C$4="Approve EPDP Charter",IF($F$32/$D$32&gt;0.5,1,0),0)</formula>
    </cfRule>
    <cfRule type="expression" dxfId="490" priority="39">
      <formula>IF($C$4="Approve EPDP Recommendations",IF($F$32/$D$32&gt;0.5,1,0),0)</formula>
    </cfRule>
    <cfRule type="expression" dxfId="489" priority="40">
      <formula>IF($C$4="Approve EPDP Recommendations Imposing New Obligations on Certain Contracting Parties",IF($F$32/$D$32&gt;0.5,1,0),0)</formula>
    </cfRule>
    <cfRule type="expression" dxfId="488" priority="41">
      <formula>IF($C$4="Initiate GNSO Guidance Process (GGP)",IF($F$32/$D$32&gt;0.33,1,0),0)</formula>
    </cfRule>
    <cfRule type="expression" dxfId="487" priority="71">
      <formula>IF($C$4="Reject Initiation of GGP Requested by the ICANN Board",IF($F$32/$D$32&gt;0.5,1,0),0)</formula>
    </cfRule>
    <cfRule type="expression" dxfId="486" priority="75">
      <formula>IF($C$4="Approve GGP Recommendations",IF($F$32/$D$32&gt;0.5,1,0),0)</formula>
    </cfRule>
  </conditionalFormatting>
  <conditionalFormatting sqref="C6:D6">
    <cfRule type="cellIs" dxfId="485" priority="28" operator="equal">
      <formula>"Fail"</formula>
    </cfRule>
    <cfRule type="cellIs" dxfId="484" priority="29" operator="equal">
      <formula>"Withdrawn"</formula>
    </cfRule>
    <cfRule type="cellIs" dxfId="483" priority="62" operator="equal">
      <formula>"Deferred"</formula>
    </cfRule>
    <cfRule type="cellIs" dxfId="482" priority="63" operator="equal">
      <formula>"Pass"</formula>
    </cfRule>
  </conditionalFormatting>
  <conditionalFormatting sqref="M4:M5">
    <cfRule type="expression" dxfId="481" priority="60">
      <formula>IF($C$4="Create Issue Report",1,0)</formula>
    </cfRule>
  </conditionalFormatting>
  <conditionalFormatting sqref="M6:M7">
    <cfRule type="expression" dxfId="480" priority="59">
      <formula>IF($C$4="Initiate PDP Within Scope",1,0)</formula>
    </cfRule>
  </conditionalFormatting>
  <conditionalFormatting sqref="M8:M9">
    <cfRule type="expression" dxfId="479" priority="58">
      <formula>IF($C$4="Initiate PDP Not Within Scope",1,0)</formula>
    </cfRule>
  </conditionalFormatting>
  <conditionalFormatting sqref="M10:M11">
    <cfRule type="expression" dxfId="478" priority="57">
      <formula>IF($C$4="Approve PDP Team Charter for PDP Within Scope",1,0)</formula>
    </cfRule>
  </conditionalFormatting>
  <conditionalFormatting sqref="M12:M13">
    <cfRule type="expression" dxfId="477" priority="56">
      <formula>IF($C$4="Approve PDP Team Charter for PDP Not Within Scope",1,0)</formula>
    </cfRule>
  </conditionalFormatting>
  <conditionalFormatting sqref="M14">
    <cfRule type="expression" dxfId="476" priority="55">
      <formula>IF($C$4="Amendment to an Approved PDP Team Charter",1,0)</formula>
    </cfRule>
  </conditionalFormatting>
  <conditionalFormatting sqref="M15:M16">
    <cfRule type="expression" dxfId="475" priority="54">
      <formula>IF($C$4="Terminate a PDP",1,0)</formula>
    </cfRule>
  </conditionalFormatting>
  <conditionalFormatting sqref="M17">
    <cfRule type="expression" dxfId="474" priority="53">
      <formula>IF($C$4="Approve PDP Recommendation Without GNSO Super Majority",1,0)</formula>
    </cfRule>
  </conditionalFormatting>
  <conditionalFormatting sqref="M18:M19">
    <cfRule type="expression" dxfId="473" priority="52">
      <formula>IF($C$4="Approve PDP Recommendation With GNSO Super Majority",1,0)</formula>
    </cfRule>
  </conditionalFormatting>
  <conditionalFormatting sqref="M20:M21">
    <cfRule type="expression" dxfId="472" priority="51">
      <formula>IF($C$4="Approve PDP Recommendation Imposing New Obligations on Certain Contracting Parties",1,0)</formula>
    </cfRule>
  </conditionalFormatting>
  <conditionalFormatting sqref="M22">
    <cfRule type="expression" dxfId="471" priority="50">
      <formula>IF($C$4="Modify or Amend an Approved PDP Recommendation",1,0)</formula>
    </cfRule>
  </conditionalFormatting>
  <conditionalFormatting sqref="M23">
    <cfRule type="expression" dxfId="470" priority="33">
      <formula>IF($C$4="Modify or Amend an Approved PDP Recommendation",1,0)</formula>
    </cfRule>
  </conditionalFormatting>
  <conditionalFormatting sqref="M38">
    <cfRule type="expression" dxfId="469" priority="32">
      <formula>IF($C$4="All Other (Default)",1,0)</formula>
    </cfRule>
  </conditionalFormatting>
  <conditionalFormatting sqref="M24">
    <cfRule type="expression" dxfId="468" priority="27">
      <formula>IF($C$4="Initiate an Expedited PDP (EPDP)",1,0)</formula>
    </cfRule>
  </conditionalFormatting>
  <conditionalFormatting sqref="M25">
    <cfRule type="expression" dxfId="467" priority="26">
      <formula>IF($C$4="Initiate an Expedited PDP (EPDP)",1,0)</formula>
    </cfRule>
  </conditionalFormatting>
  <conditionalFormatting sqref="M26">
    <cfRule type="expression" dxfId="466" priority="25">
      <formula>IF($C$4="Approve EPDP Charter",1,0)</formula>
    </cfRule>
  </conditionalFormatting>
  <conditionalFormatting sqref="M27">
    <cfRule type="expression" dxfId="465" priority="24">
      <formula>IF($C$4="Approve EPDP Charter",1,0)</formula>
    </cfRule>
  </conditionalFormatting>
  <conditionalFormatting sqref="M28">
    <cfRule type="expression" dxfId="464" priority="23">
      <formula>IF($C$4="Approve EPDP Recommendations",1,0)</formula>
    </cfRule>
  </conditionalFormatting>
  <conditionalFormatting sqref="M29">
    <cfRule type="expression" dxfId="463" priority="22">
      <formula>IF($C$4="Approve EPDP Recommendations",1,0)</formula>
    </cfRule>
  </conditionalFormatting>
  <conditionalFormatting sqref="M30">
    <cfRule type="expression" dxfId="462" priority="21">
      <formula>IF($C$4="Approve EPDP Recommendations Imposing New Obligations on Certain Contracting Parties",1,0)</formula>
    </cfRule>
  </conditionalFormatting>
  <conditionalFormatting sqref="M31">
    <cfRule type="expression" dxfId="461" priority="20">
      <formula>IF($C$4="Approve EPDP Recommendations Imposing New Obligations on Certain Contracting Parties",1,0)</formula>
    </cfRule>
  </conditionalFormatting>
  <conditionalFormatting sqref="M32:M33">
    <cfRule type="expression" dxfId="460" priority="19">
      <formula>IF($C$4="Initiate GNSO Guidance Process (GGP)",1,0)</formula>
    </cfRule>
  </conditionalFormatting>
  <conditionalFormatting sqref="M34">
    <cfRule type="expression" dxfId="459" priority="18">
      <formula>IF($C$4="Reject Initiation of GGP Requested by the ICANN Board",1,0)</formula>
    </cfRule>
  </conditionalFormatting>
  <conditionalFormatting sqref="M35">
    <cfRule type="expression" dxfId="458" priority="17">
      <formula>IF($C$4="Reject Initiation of GGP Requested by the ICANN Board",1,0)</formula>
    </cfRule>
  </conditionalFormatting>
  <conditionalFormatting sqref="M36">
    <cfRule type="expression" dxfId="457" priority="16">
      <formula>IF($C$4="Approve GGP Recommendations",1,0)</formula>
    </cfRule>
  </conditionalFormatting>
  <conditionalFormatting sqref="M37">
    <cfRule type="expression" dxfId="456" priority="15">
      <formula>IF($C$4="Approve GGP Recommendations",1,0)</formula>
    </cfRule>
  </conditionalFormatting>
  <dataValidations count="2">
    <dataValidation type="whole" allowBlank="1" showInputMessage="1" showErrorMessage="1" errorTitle="Wrong Value" error="Must be 0, 1, or Blank" sqref="F12:I30">
      <formula1>0</formula1>
      <formula2>1</formula2>
    </dataValidation>
    <dataValidation type="whole" allowBlank="1" showErrorMessage="1" errorTitle="Wrong Value" error="Must be 0, 1, or Blank" sqref="F9:I11">
      <formula1>0</formula1>
      <formula2>1</formula2>
    </dataValidation>
  </dataValidations>
  <pageMargins left="0.2" right="0.2" top="0.25" bottom="0.25" header="0.3" footer="0.3"/>
  <pageSetup scale="39" orientation="landscape" r:id="rId1"/>
  <ignoredErrors>
    <ignoredError sqref="H63:H8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117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118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82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42656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">
        <v>116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 t="s">
        <v>114</v>
      </c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 t="s">
        <v>115</v>
      </c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 t="e">
        <f>IF($C$4="All Other (Default)",IF($F$31/$D$31&gt;0.5,IF($F$32/$D$32&gt;0.5,1,0)),0)</f>
        <v>#DIV/0!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0.38812626136718387</v>
      </c>
      <c r="G63" s="5">
        <f t="shared" ref="G63:G82" ca="1" si="1">INDEX($E$63:$E$82,RANK(F63,$F$63:$F$82))</f>
        <v>10</v>
      </c>
      <c r="H63" s="13">
        <f ca="1">G63</f>
        <v>10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0.21469855476567234</v>
      </c>
      <c r="G64" s="5">
        <f t="shared" ca="1" si="1"/>
        <v>14</v>
      </c>
      <c r="H64" s="13">
        <f t="shared" ref="H64:H82" ca="1" si="2">G64</f>
        <v>14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0.73375164012269545</v>
      </c>
      <c r="G65" s="5">
        <f t="shared" ca="1" si="1"/>
        <v>4</v>
      </c>
      <c r="H65" s="13">
        <f t="shared" ca="1" si="2"/>
        <v>4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7.0529308741566488E-2</v>
      </c>
      <c r="G66" s="5">
        <f t="shared" ca="1" si="1"/>
        <v>18</v>
      </c>
      <c r="H66" s="13">
        <f t="shared" ca="1" si="2"/>
        <v>18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0.11187021876326053</v>
      </c>
      <c r="G67" s="5">
        <f t="shared" ca="1" si="1"/>
        <v>17</v>
      </c>
      <c r="H67" s="13">
        <f t="shared" ca="1" si="2"/>
        <v>17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0.98518771972896346</v>
      </c>
      <c r="G68" s="5">
        <f t="shared" ca="1" si="1"/>
        <v>1</v>
      </c>
      <c r="H68" s="13">
        <f t="shared" ca="1" si="2"/>
        <v>1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0.87997197420904105</v>
      </c>
      <c r="G69" s="5">
        <f t="shared" ca="1" si="1"/>
        <v>2</v>
      </c>
      <c r="H69" s="13">
        <f t="shared" ca="1" si="2"/>
        <v>2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0.56041847157081359</v>
      </c>
      <c r="G70" s="5">
        <f t="shared" ca="1" si="1"/>
        <v>7</v>
      </c>
      <c r="H70" s="13">
        <f t="shared" ca="1" si="2"/>
        <v>7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0.13362240762349487</v>
      </c>
      <c r="G71" s="5">
        <f t="shared" ca="1" si="1"/>
        <v>15</v>
      </c>
      <c r="H71" s="13">
        <f t="shared" ca="1" si="2"/>
        <v>15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0.13331855405777104</v>
      </c>
      <c r="G72" s="5">
        <f t="shared" ca="1" si="1"/>
        <v>16</v>
      </c>
      <c r="H72" s="13">
        <f t="shared" ca="1" si="2"/>
        <v>16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0.64220945368754268</v>
      </c>
      <c r="G73" s="5">
        <f t="shared" ca="1" si="1"/>
        <v>6</v>
      </c>
      <c r="H73" s="13">
        <f t="shared" ca="1" si="2"/>
        <v>6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0.74393398298377089</v>
      </c>
      <c r="G74" s="5">
        <f t="shared" ca="1" si="1"/>
        <v>3</v>
      </c>
      <c r="H74" s="13">
        <f t="shared" ca="1" si="2"/>
        <v>3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0.2213403602581091</v>
      </c>
      <c r="G75" s="5">
        <f t="shared" ca="1" si="1"/>
        <v>13</v>
      </c>
      <c r="H75" s="13">
        <f t="shared" ca="1" si="2"/>
        <v>13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0.38995718669680768</v>
      </c>
      <c r="G76" s="5">
        <f t="shared" ca="1" si="1"/>
        <v>9</v>
      </c>
      <c r="H76" s="13">
        <f t="shared" ca="1" si="2"/>
        <v>9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1.7026087883779129E-2</v>
      </c>
      <c r="G77" s="5">
        <f t="shared" ca="1" si="1"/>
        <v>20</v>
      </c>
      <c r="H77" s="13">
        <f t="shared" ca="1" si="2"/>
        <v>20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0.23950386451516958</v>
      </c>
      <c r="G78" s="5">
        <f t="shared" ca="1" si="1"/>
        <v>12</v>
      </c>
      <c r="H78" s="13">
        <f t="shared" ca="1" si="2"/>
        <v>12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0.41111339093339971</v>
      </c>
      <c r="G79" s="5">
        <f t="shared" ca="1" si="1"/>
        <v>8</v>
      </c>
      <c r="H79" s="13">
        <f t="shared" ca="1" si="2"/>
        <v>8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0.32943590778219456</v>
      </c>
      <c r="G80" s="5">
        <f t="shared" ca="1" si="1"/>
        <v>11</v>
      </c>
      <c r="H80" s="13">
        <f t="shared" ca="1" si="2"/>
        <v>11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2.572526145715448E-2</v>
      </c>
      <c r="G81" s="5">
        <f t="shared" ca="1" si="1"/>
        <v>19</v>
      </c>
      <c r="H81" s="13">
        <f t="shared" ca="1" si="2"/>
        <v>19</v>
      </c>
    </row>
    <row r="82" spans="2:8" s="1" customFormat="1" ht="15.75" hidden="1">
      <c r="C82" s="2"/>
      <c r="D82" s="2"/>
      <c r="E82" s="5">
        <v>20</v>
      </c>
      <c r="F82" s="5">
        <f t="shared" ca="1" si="0"/>
        <v>0.67279925183861766</v>
      </c>
      <c r="G82" s="5">
        <f t="shared" ca="1" si="1"/>
        <v>5</v>
      </c>
      <c r="H82" s="13">
        <f t="shared" ca="1" si="2"/>
        <v>5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455" priority="75" stopIfTrue="1">
      <formula>SUM(F9:I9)=0</formula>
    </cfRule>
    <cfRule type="expression" dxfId="454" priority="76" stopIfTrue="1">
      <formula>SUM(F9:I9)&gt;1</formula>
    </cfRule>
  </conditionalFormatting>
  <conditionalFormatting sqref="D31">
    <cfRule type="cellIs" dxfId="453" priority="73" stopIfTrue="1" operator="equal">
      <formula>7</formula>
    </cfRule>
    <cfRule type="cellIs" dxfId="452" priority="74" stopIfTrue="1" operator="lessThan">
      <formula>7</formula>
    </cfRule>
  </conditionalFormatting>
  <conditionalFormatting sqref="D32">
    <cfRule type="cellIs" dxfId="451" priority="71" stopIfTrue="1" operator="equal">
      <formula>13</formula>
    </cfRule>
    <cfRule type="cellIs" dxfId="450" priority="72" stopIfTrue="1" operator="lessThan">
      <formula>13</formula>
    </cfRule>
  </conditionalFormatting>
  <conditionalFormatting sqref="B10:B28">
    <cfRule type="expression" dxfId="449" priority="69" stopIfTrue="1">
      <formula>SUM(F10:I10)=0</formula>
    </cfRule>
    <cfRule type="expression" dxfId="448" priority="70" stopIfTrue="1">
      <formula>SUM(F10:I10)&gt;1</formula>
    </cfRule>
  </conditionalFormatting>
  <conditionalFormatting sqref="C31">
    <cfRule type="expression" dxfId="447" priority="8">
      <formula>IF($C$4="Create Issue Report",IF($F$31/$D$31&gt;0.25,1,0),0)</formula>
    </cfRule>
    <cfRule type="expression" dxfId="446" priority="9">
      <formula>IF($C$4="Initiate PDP Within Scope",IF($F$31/$D$31&gt;0.333,1,0),0)</formula>
    </cfRule>
    <cfRule type="expression" dxfId="445" priority="10">
      <formula>IF($C$4="Initiate PDP Not Within Scope",IF($F$31/$D$31&gt;0.5,1,0),0)</formula>
    </cfRule>
    <cfRule type="expression" dxfId="444" priority="11">
      <formula>IF($C$4="Approve PDP Team Charter for PDP Within Scope",IF($F$31/$D$31&gt;0.333,1,0),0)</formula>
    </cfRule>
    <cfRule type="expression" dxfId="443" priority="12">
      <formula>IF($C$4="Approve PDP Team Charter for PDP Not Within Scope",IF($F$31/$D$31&gt;0.5,1,0),0)</formula>
    </cfRule>
    <cfRule type="expression" dxfId="442" priority="13">
      <formula>IF($C$4="Amendment to an Approved PDP Team Charter",IF($F$31/$D$31&gt;0.5,1,0),0)</formula>
    </cfRule>
    <cfRule type="expression" dxfId="441" priority="14">
      <formula>IF($C$4="Terminate a PDP",IF($F$31/$D$31&gt;0.5,1,0),0)</formula>
    </cfRule>
    <cfRule type="expression" dxfId="440" priority="31">
      <formula>IF($C$4="Approve PDP Recommendation Without GNSO Super Majority",IF($F$31/$D$31&gt;0.5,1,0),0)</formula>
    </cfRule>
    <cfRule type="expression" dxfId="439" priority="42">
      <formula>IF($C$4="Approve PDP Recommendation With GNSO Super Majority",IF($F$31/$D$31&gt;0.5,1,0),0)</formula>
    </cfRule>
    <cfRule type="expression" dxfId="438" priority="43">
      <formula>IF($C$4="Approve PDP Recommendation Imposing New Obligations on Certain Contracting Parties",IF($F$31/$D$31&gt;0.5,1,0),0)</formula>
    </cfRule>
    <cfRule type="expression" dxfId="437" priority="44">
      <formula>IF($C$4="Modify or Amend an Approved PDP Recommendation",IF($F$31/$D$31&gt;0.5,1,0),0)</formula>
    </cfRule>
    <cfRule type="expression" dxfId="436" priority="45">
      <formula>IF($C$4="Initiate an Expedited PDP (EPDP)",IF($F$31/$D$31&gt;0.5,1,0),0)</formula>
    </cfRule>
    <cfRule type="expression" dxfId="435" priority="46">
      <formula>IF($C$4="Approve EPDP Charter",IF($F$31/$D$31&gt;0.5,1,0),0)</formula>
    </cfRule>
    <cfRule type="expression" dxfId="434" priority="47">
      <formula>IF($C$4="Approve EPDP Recommendations",IF($F$31/$D$31&gt;0.5,1,0),0)</formula>
    </cfRule>
    <cfRule type="expression" dxfId="433" priority="48">
      <formula>IF($C$4="Approve EPDP Recommendations Imposing New Obligations on Certain Contracting Parties",IF($F$31/$D$31&gt;0.5,1,0),0)</formula>
    </cfRule>
    <cfRule type="expression" dxfId="432" priority="49">
      <formula>IF($C$4="Initiate GNSO Guidance Process (GGP)",IF($F$31/$D$31&gt;0.33,1,0),0)</formula>
    </cfRule>
    <cfRule type="expression" dxfId="431" priority="64">
      <formula>IF($C$4="Reject Initiation of GGP Requested by the ICANN Board",IF($F$31/$D$31&gt;0.5,1,0),0)</formula>
    </cfRule>
    <cfRule type="expression" dxfId="430" priority="66">
      <formula>IF($C$4="Approve GGP Recommendations",IF($F$31/$D$31&gt;0.5,1,0),0)</formula>
    </cfRule>
    <cfRule type="expression" dxfId="429" priority="68">
      <formula>IF($C$4="All Other (Default)",IF($F$31/$D$31&gt;0.5,1,0),0)</formula>
    </cfRule>
  </conditionalFormatting>
  <conditionalFormatting sqref="C32">
    <cfRule type="expression" dxfId="428" priority="1">
      <formula>IF($C$4="Create Issue Report",IF($F$32/$D$32&gt;0.25,1,0),0)</formula>
    </cfRule>
    <cfRule type="expression" dxfId="427" priority="2">
      <formula>IF($C$4="Initiate PDP Within Scope",IF($F$32/$D$32&gt;0.333,1,0),0)</formula>
    </cfRule>
    <cfRule type="expression" dxfId="426" priority="3">
      <formula>IF($C$4="Initiate PDP Not Within Scope",IF($F$32/$D$32&gt;0.5,1,0),0)</formula>
    </cfRule>
    <cfRule type="expression" dxfId="425" priority="4">
      <formula>IF($C$4="Approve PDP Team Charter for PDP Within Scope",IF($F$32/$D$32&gt;0.333,1,0),0)</formula>
    </cfRule>
    <cfRule type="expression" dxfId="424" priority="5">
      <formula>IF($C$4="Approve PDP Team Charter for PDP Not Within Scope",IF($F$32/$D$32&gt;0.5,1,0),0)</formula>
    </cfRule>
    <cfRule type="expression" dxfId="423" priority="6">
      <formula>IF($C$4="Amendment to an Approved PDP Team Charter",IF($F$32/$D$32&gt;0.5,1,0),0)</formula>
    </cfRule>
    <cfRule type="expression" dxfId="422" priority="7">
      <formula>IF($C$4="Terminate a PDP",IF($F$32/$D$32&gt;0.5,1,0),0)</formula>
    </cfRule>
    <cfRule type="expression" dxfId="421" priority="30">
      <formula>IF($C$4="Approve PDP Recommendation Without GNSO Super Majority",IF($F$32/$D$32&gt;0.5,1,0),0)</formula>
    </cfRule>
    <cfRule type="expression" dxfId="420" priority="34">
      <formula>IF($C$4="Approve PDP Recommendation With GNSO Super Majority",IF($F$32/$D$32&gt;0.5,1,0),0)</formula>
    </cfRule>
    <cfRule type="expression" dxfId="419" priority="35">
      <formula>IF($C$4="Approve PDP Recommendation Imposing New Obligations on Certain Contracting Parties",IF($F$32/$D$32&gt;0.5,1,0),0)</formula>
    </cfRule>
    <cfRule type="expression" dxfId="418" priority="36">
      <formula>IF($C$4="Modify or Amend an Approved PDP Recommendation",IF($F$32/$D$32&gt;0.5,1,0),0)</formula>
    </cfRule>
    <cfRule type="expression" dxfId="417" priority="37">
      <formula>IF($C$4="Initiate an Expedited PDP (EPDP)",IF($F$32/$D$32&gt;0.5,1,0),0)</formula>
    </cfRule>
    <cfRule type="expression" dxfId="416" priority="38">
      <formula>IF($C$4="Approve EPDP Charter",IF($F$32/$D$32&gt;0.5,1,0),0)</formula>
    </cfRule>
    <cfRule type="expression" dxfId="415" priority="39">
      <formula>IF($C$4="Approve EPDP Recommendations",IF($F$32/$D$32&gt;0.5,1,0),0)</formula>
    </cfRule>
    <cfRule type="expression" dxfId="414" priority="40">
      <formula>IF($C$4="Approve EPDP Recommendations Imposing New Obligations on Certain Contracting Parties",IF($F$32/$D$32&gt;0.5,1,0),0)</formula>
    </cfRule>
    <cfRule type="expression" dxfId="413" priority="41">
      <formula>IF($C$4="Initiate GNSO Guidance Process (GGP)",IF($F$32/$D$32&gt;0.33,1,0),0)</formula>
    </cfRule>
    <cfRule type="expression" dxfId="412" priority="63">
      <formula>IF($C$4="Reject Initiation of GGP Requested by the ICANN Board",IF($F$32/$D$32&gt;0.5,1,0),0)</formula>
    </cfRule>
    <cfRule type="expression" dxfId="411" priority="65">
      <formula>IF($C$4="Approve GGP Recommendations",IF($F$32/$D$32&gt;0.5,1,0),0)</formula>
    </cfRule>
    <cfRule type="expression" dxfId="410" priority="67">
      <formula>IF($C$4="All Other (Default)",IF($F$32/$D$32&gt;0.5,1,0),0)</formula>
    </cfRule>
  </conditionalFormatting>
  <conditionalFormatting sqref="C6:D6">
    <cfRule type="cellIs" dxfId="409" priority="28" operator="equal">
      <formula>"Fail"</formula>
    </cfRule>
    <cfRule type="cellIs" dxfId="408" priority="29" operator="equal">
      <formula>"Withdrawn"</formula>
    </cfRule>
    <cfRule type="cellIs" dxfId="407" priority="61" operator="equal">
      <formula>"Deferred"</formula>
    </cfRule>
    <cfRule type="cellIs" dxfId="406" priority="62" operator="equal">
      <formula>"Pass"</formula>
    </cfRule>
  </conditionalFormatting>
  <conditionalFormatting sqref="M4:M5">
    <cfRule type="expression" dxfId="405" priority="60">
      <formula>IF($C$4="Create Issue Report",1,0)</formula>
    </cfRule>
  </conditionalFormatting>
  <conditionalFormatting sqref="M6:M7">
    <cfRule type="expression" dxfId="404" priority="59">
      <formula>IF($C$4="Initiate PDP Within Scope",1,0)</formula>
    </cfRule>
  </conditionalFormatting>
  <conditionalFormatting sqref="M8:M9">
    <cfRule type="expression" dxfId="403" priority="58">
      <formula>IF($C$4="Initiate PDP Not Within Scope",1,0)</formula>
    </cfRule>
  </conditionalFormatting>
  <conditionalFormatting sqref="M10:M11">
    <cfRule type="expression" dxfId="402" priority="57">
      <formula>IF($C$4="Approve PDP Team Charter for PDP Within Scope",1,0)</formula>
    </cfRule>
  </conditionalFormatting>
  <conditionalFormatting sqref="M12:M13">
    <cfRule type="expression" dxfId="401" priority="56">
      <formula>IF($C$4="Approve PDP Team Charter for PDP Not Within Scope",1,0)</formula>
    </cfRule>
  </conditionalFormatting>
  <conditionalFormatting sqref="M14">
    <cfRule type="expression" dxfId="400" priority="55">
      <formula>IF($C$4="Amendment to an Approved PDP Team Charter",1,0)</formula>
    </cfRule>
  </conditionalFormatting>
  <conditionalFormatting sqref="M15:M16">
    <cfRule type="expression" dxfId="399" priority="54">
      <formula>IF($C$4="Terminate a PDP",1,0)</formula>
    </cfRule>
  </conditionalFormatting>
  <conditionalFormatting sqref="M17">
    <cfRule type="expression" dxfId="398" priority="53">
      <formula>IF($C$4="Approve PDP Recommendation Without GNSO Super Majority",1,0)</formula>
    </cfRule>
  </conditionalFormatting>
  <conditionalFormatting sqref="M18:M19">
    <cfRule type="expression" dxfId="397" priority="52">
      <formula>IF($C$4="Approve PDP Recommendation With GNSO Super Majority",1,0)</formula>
    </cfRule>
  </conditionalFormatting>
  <conditionalFormatting sqref="M20:M21">
    <cfRule type="expression" dxfId="396" priority="51">
      <formula>IF($C$4="Approve PDP Recommendation Imposing New Obligations on Certain Contracting Parties",1,0)</formula>
    </cfRule>
  </conditionalFormatting>
  <conditionalFormatting sqref="M22">
    <cfRule type="expression" dxfId="395" priority="50">
      <formula>IF($C$4="Modify or Amend an Approved PDP Recommendation",1,0)</formula>
    </cfRule>
  </conditionalFormatting>
  <conditionalFormatting sqref="M23">
    <cfRule type="expression" dxfId="394" priority="33">
      <formula>IF($C$4="Modify or Amend an Approved PDP Recommendation",1,0)</formula>
    </cfRule>
  </conditionalFormatting>
  <conditionalFormatting sqref="M38">
    <cfRule type="expression" dxfId="393" priority="32">
      <formula>IF($C$4="All Other (Default)",1,0)</formula>
    </cfRule>
  </conditionalFormatting>
  <conditionalFormatting sqref="M24">
    <cfRule type="expression" dxfId="392" priority="27">
      <formula>IF($C$4="Initiate an Expedited PDP (EPDP)",1,0)</formula>
    </cfRule>
  </conditionalFormatting>
  <conditionalFormatting sqref="M25">
    <cfRule type="expression" dxfId="391" priority="26">
      <formula>IF($C$4="Initiate an Expedited PDP (EPDP)",1,0)</formula>
    </cfRule>
  </conditionalFormatting>
  <conditionalFormatting sqref="M26">
    <cfRule type="expression" dxfId="390" priority="25">
      <formula>IF($C$4="Approve EPDP Charter",1,0)</formula>
    </cfRule>
  </conditionalFormatting>
  <conditionalFormatting sqref="M27">
    <cfRule type="expression" dxfId="389" priority="24">
      <formula>IF($C$4="Approve EPDP Charter",1,0)</formula>
    </cfRule>
  </conditionalFormatting>
  <conditionalFormatting sqref="M28">
    <cfRule type="expression" dxfId="388" priority="23">
      <formula>IF($C$4="Approve EPDP Recommendations",1,0)</formula>
    </cfRule>
  </conditionalFormatting>
  <conditionalFormatting sqref="M29">
    <cfRule type="expression" dxfId="387" priority="22">
      <formula>IF($C$4="Approve EPDP Recommendations",1,0)</formula>
    </cfRule>
  </conditionalFormatting>
  <conditionalFormatting sqref="M30">
    <cfRule type="expression" dxfId="386" priority="21">
      <formula>IF($C$4="Approve EPDP Recommendations Imposing New Obligations on Certain Contracting Parties",1,0)</formula>
    </cfRule>
  </conditionalFormatting>
  <conditionalFormatting sqref="M31">
    <cfRule type="expression" dxfId="385" priority="20">
      <formula>IF($C$4="Approve EPDP Recommendations Imposing New Obligations on Certain Contracting Parties",1,0)</formula>
    </cfRule>
  </conditionalFormatting>
  <conditionalFormatting sqref="M32:M33">
    <cfRule type="expression" dxfId="384" priority="19">
      <formula>IF($C$4="Initiate GNSO Guidance Process (GGP)",1,0)</formula>
    </cfRule>
  </conditionalFormatting>
  <conditionalFormatting sqref="M34">
    <cfRule type="expression" dxfId="383" priority="18">
      <formula>IF($C$4="Reject Initiation of GGP Requested by the ICANN Board",1,0)</formula>
    </cfRule>
  </conditionalFormatting>
  <conditionalFormatting sqref="M35">
    <cfRule type="expression" dxfId="382" priority="17">
      <formula>IF($C$4="Reject Initiation of GGP Requested by the ICANN Board",1,0)</formula>
    </cfRule>
  </conditionalFormatting>
  <conditionalFormatting sqref="M36">
    <cfRule type="expression" dxfId="381" priority="16">
      <formula>IF($C$4="Approve GGP Recommendations",1,0)</formula>
    </cfRule>
  </conditionalFormatting>
  <conditionalFormatting sqref="M37">
    <cfRule type="expression" dxfId="380" priority="15">
      <formula>IF($C$4="Approve GGP Recommendations",1,0)</formula>
    </cfRule>
  </conditionalFormatting>
  <dataValidations count="2">
    <dataValidation type="whole" allowBlank="1" showErrorMessage="1" errorTitle="Wrong Value" error="Must be 0, 1, or Blank" sqref="F9:I11">
      <formula1>0</formula1>
      <formula2>1</formula2>
    </dataValidation>
    <dataValidation type="whole" allowBlank="1" showInputMessage="1" showErrorMessage="1" errorTitle="Wrong Value" error="Must be 0, 1, or Blank" sqref="F12:I30">
      <formula1>0</formula1>
      <formula2>1</formula2>
    </dataValidation>
  </dataValidations>
  <pageMargins left="0.2" right="0.2" top="0.25" bottom="0.25" header="0.3" footer="0.3"/>
  <pageSetup scale="39" orientation="landscape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87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88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81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42656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FAIL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0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0.94088224496352402</v>
      </c>
      <c r="G63" s="5">
        <f t="shared" ref="G63:G82" ca="1" si="1">INDEX($E$63:$E$82,RANK(F63,$F$63:$F$82))</f>
        <v>3</v>
      </c>
      <c r="H63" s="13">
        <f ca="1">G63</f>
        <v>3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0.87673178032496346</v>
      </c>
      <c r="G64" s="5">
        <f t="shared" ca="1" si="1"/>
        <v>4</v>
      </c>
      <c r="H64" s="13">
        <f t="shared" ref="H64:H82" ca="1" si="2">G64</f>
        <v>4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0.99334449260962754</v>
      </c>
      <c r="G65" s="5">
        <f t="shared" ca="1" si="1"/>
        <v>1</v>
      </c>
      <c r="H65" s="13">
        <f t="shared" ca="1" si="2"/>
        <v>1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5.2022317022335174E-2</v>
      </c>
      <c r="G66" s="5">
        <f t="shared" ca="1" si="1"/>
        <v>19</v>
      </c>
      <c r="H66" s="13">
        <f t="shared" ca="1" si="2"/>
        <v>19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0.37097372727695355</v>
      </c>
      <c r="G67" s="5">
        <f t="shared" ca="1" si="1"/>
        <v>13</v>
      </c>
      <c r="H67" s="13">
        <f t="shared" ca="1" si="2"/>
        <v>13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0.72007547738073907</v>
      </c>
      <c r="G68" s="5">
        <f t="shared" ca="1" si="1"/>
        <v>9</v>
      </c>
      <c r="H68" s="13">
        <f t="shared" ca="1" si="2"/>
        <v>9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0.71287555589200569</v>
      </c>
      <c r="G69" s="5">
        <f t="shared" ca="1" si="1"/>
        <v>10</v>
      </c>
      <c r="H69" s="13">
        <f t="shared" ca="1" si="2"/>
        <v>10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0.75308008409681926</v>
      </c>
      <c r="G70" s="5">
        <f t="shared" ca="1" si="1"/>
        <v>7</v>
      </c>
      <c r="H70" s="13">
        <f t="shared" ca="1" si="2"/>
        <v>7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0.58664362044506191</v>
      </c>
      <c r="G71" s="5">
        <f t="shared" ca="1" si="1"/>
        <v>11</v>
      </c>
      <c r="H71" s="13">
        <f t="shared" ca="1" si="2"/>
        <v>11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3.0083119391776991E-2</v>
      </c>
      <c r="G72" s="5">
        <f t="shared" ca="1" si="1"/>
        <v>20</v>
      </c>
      <c r="H72" s="13">
        <f t="shared" ca="1" si="2"/>
        <v>20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0.73541840634938427</v>
      </c>
      <c r="G73" s="5">
        <f t="shared" ca="1" si="1"/>
        <v>8</v>
      </c>
      <c r="H73" s="13">
        <f t="shared" ca="1" si="2"/>
        <v>8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0.30814360209181368</v>
      </c>
      <c r="G74" s="5">
        <f t="shared" ca="1" si="1"/>
        <v>15</v>
      </c>
      <c r="H74" s="13">
        <f t="shared" ca="1" si="2"/>
        <v>15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0.7747451913841491</v>
      </c>
      <c r="G75" s="5">
        <f t="shared" ca="1" si="1"/>
        <v>6</v>
      </c>
      <c r="H75" s="13">
        <f t="shared" ca="1" si="2"/>
        <v>6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0.2228281994481528</v>
      </c>
      <c r="G76" s="5">
        <f t="shared" ca="1" si="1"/>
        <v>17</v>
      </c>
      <c r="H76" s="13">
        <f t="shared" ca="1" si="2"/>
        <v>17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0.18503242806341924</v>
      </c>
      <c r="G77" s="5">
        <f t="shared" ca="1" si="1"/>
        <v>18</v>
      </c>
      <c r="H77" s="13">
        <f t="shared" ca="1" si="2"/>
        <v>18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0.2491169741575654</v>
      </c>
      <c r="G78" s="5">
        <f t="shared" ca="1" si="1"/>
        <v>16</v>
      </c>
      <c r="H78" s="13">
        <f t="shared" ca="1" si="2"/>
        <v>16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0.50686647185593492</v>
      </c>
      <c r="G79" s="5">
        <f t="shared" ca="1" si="1"/>
        <v>12</v>
      </c>
      <c r="H79" s="13">
        <f t="shared" ca="1" si="2"/>
        <v>12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0.87186238383739501</v>
      </c>
      <c r="G80" s="5">
        <f t="shared" ca="1" si="1"/>
        <v>5</v>
      </c>
      <c r="H80" s="13">
        <f t="shared" ca="1" si="2"/>
        <v>5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0.31826114822717866</v>
      </c>
      <c r="G81" s="5">
        <f t="shared" ca="1" si="1"/>
        <v>14</v>
      </c>
      <c r="H81" s="13">
        <f t="shared" ca="1" si="2"/>
        <v>14</v>
      </c>
    </row>
    <row r="82" spans="2:8" s="1" customFormat="1" ht="15.75" hidden="1">
      <c r="C82" s="2"/>
      <c r="D82" s="2"/>
      <c r="E82" s="5">
        <v>20</v>
      </c>
      <c r="F82" s="5">
        <f t="shared" ca="1" si="0"/>
        <v>0.97291380983793085</v>
      </c>
      <c r="G82" s="5">
        <f t="shared" ca="1" si="1"/>
        <v>2</v>
      </c>
      <c r="H82" s="13">
        <f t="shared" ca="1" si="2"/>
        <v>2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379" priority="75" stopIfTrue="1">
      <formula>SUM(F9:I9)=0</formula>
    </cfRule>
    <cfRule type="expression" dxfId="378" priority="76" stopIfTrue="1">
      <formula>SUM(F9:I9)&gt;1</formula>
    </cfRule>
  </conditionalFormatting>
  <conditionalFormatting sqref="D31">
    <cfRule type="cellIs" dxfId="377" priority="73" stopIfTrue="1" operator="equal">
      <formula>7</formula>
    </cfRule>
    <cfRule type="cellIs" dxfId="376" priority="74" stopIfTrue="1" operator="lessThan">
      <formula>7</formula>
    </cfRule>
  </conditionalFormatting>
  <conditionalFormatting sqref="D32">
    <cfRule type="cellIs" dxfId="375" priority="71" stopIfTrue="1" operator="equal">
      <formula>13</formula>
    </cfRule>
    <cfRule type="cellIs" dxfId="374" priority="72" stopIfTrue="1" operator="lessThan">
      <formula>13</formula>
    </cfRule>
  </conditionalFormatting>
  <conditionalFormatting sqref="B10:B28">
    <cfRule type="expression" dxfId="373" priority="69" stopIfTrue="1">
      <formula>SUM(F10:I10)=0</formula>
    </cfRule>
    <cfRule type="expression" dxfId="372" priority="70" stopIfTrue="1">
      <formula>SUM(F10:I10)&gt;1</formula>
    </cfRule>
  </conditionalFormatting>
  <conditionalFormatting sqref="C31">
    <cfRule type="expression" dxfId="371" priority="8">
      <formula>IF($C$4="Create Issue Report",IF($F$31/$D$31&gt;0.25,1,0),0)</formula>
    </cfRule>
    <cfRule type="expression" dxfId="370" priority="9">
      <formula>IF($C$4="Initiate PDP Within Scope",IF($F$31/$D$31&gt;0.333,1,0),0)</formula>
    </cfRule>
    <cfRule type="expression" dxfId="369" priority="10">
      <formula>IF($C$4="Initiate PDP Not Within Scope",IF($F$31/$D$31&gt;0.5,1,0),0)</formula>
    </cfRule>
    <cfRule type="expression" dxfId="368" priority="11">
      <formula>IF($C$4="Approve PDP Team Charter for PDP Within Scope",IF($F$31/$D$31&gt;0.333,1,0),0)</formula>
    </cfRule>
    <cfRule type="expression" dxfId="367" priority="12">
      <formula>IF($C$4="Approve PDP Team Charter for PDP Not Within Scope",IF($F$31/$D$31&gt;0.5,1,0),0)</formula>
    </cfRule>
    <cfRule type="expression" dxfId="366" priority="13">
      <formula>IF($C$4="Amendment to an Approved PDP Team Charter",IF($F$31/$D$31&gt;0.5,1,0),0)</formula>
    </cfRule>
    <cfRule type="expression" dxfId="365" priority="14">
      <formula>IF($C$4="Terminate a PDP",IF($F$31/$D$31&gt;0.5,1,0),0)</formula>
    </cfRule>
    <cfRule type="expression" dxfId="364" priority="31">
      <formula>IF($C$4="Approve PDP Recommendation Without GNSO Super Majority",IF($F$31/$D$31&gt;0.5,1,0),0)</formula>
    </cfRule>
    <cfRule type="expression" dxfId="363" priority="42">
      <formula>IF($C$4="Approve PDP Recommendation With GNSO Super Majority",IF($F$31/$D$31&gt;0.5,1,0),0)</formula>
    </cfRule>
    <cfRule type="expression" dxfId="362" priority="43">
      <formula>IF($C$4="Approve PDP Recommendation Imposing New Obligations on Certain Contracting Parties",IF($F$31/$D$31&gt;0.5,1,0),0)</formula>
    </cfRule>
    <cfRule type="expression" dxfId="361" priority="44">
      <formula>IF($C$4="Modify or Amend an Approved PDP Recommendation",IF($F$31/$D$31&gt;0.5,1,0),0)</formula>
    </cfRule>
    <cfRule type="expression" dxfId="360" priority="45">
      <formula>IF($C$4="Initiate an Expedited PDP (EPDP)",IF($F$31/$D$31&gt;0.5,1,0),0)</formula>
    </cfRule>
    <cfRule type="expression" dxfId="359" priority="46">
      <formula>IF($C$4="Approve EPDP Charter",IF($F$31/$D$31&gt;0.5,1,0),0)</formula>
    </cfRule>
    <cfRule type="expression" dxfId="358" priority="47">
      <formula>IF($C$4="Approve EPDP Recommendations",IF($F$31/$D$31&gt;0.5,1,0),0)</formula>
    </cfRule>
    <cfRule type="expression" dxfId="357" priority="48">
      <formula>IF($C$4="Approve EPDP Recommendations Imposing New Obligations on Certain Contracting Parties",IF($F$31/$D$31&gt;0.5,1,0),0)</formula>
    </cfRule>
    <cfRule type="expression" dxfId="356" priority="49">
      <formula>IF($C$4="Initiate GNSO Guidance Process (GGP)",IF($F$31/$D$31&gt;0.33,1,0),0)</formula>
    </cfRule>
    <cfRule type="expression" dxfId="355" priority="64">
      <formula>IF($C$4="Reject Initiation of GGP Requested by the ICANN Board",IF($F$31/$D$31&gt;0.5,1,0),0)</formula>
    </cfRule>
    <cfRule type="expression" dxfId="354" priority="66">
      <formula>IF($C$4="Approve GGP Recommendations",IF($F$31/$D$31&gt;0.5,1,0),0)</formula>
    </cfRule>
    <cfRule type="expression" dxfId="353" priority="68">
      <formula>IF($C$4="All Other (Default)",IF($F$31/$D$31&gt;0.5,1,0),0)</formula>
    </cfRule>
  </conditionalFormatting>
  <conditionalFormatting sqref="C32">
    <cfRule type="expression" dxfId="352" priority="1">
      <formula>IF($C$4="Create Issue Report",IF($F$32/$D$32&gt;0.25,1,0),0)</formula>
    </cfRule>
    <cfRule type="expression" dxfId="351" priority="2">
      <formula>IF($C$4="Initiate PDP Within Scope",IF($F$32/$D$32&gt;0.333,1,0),0)</formula>
    </cfRule>
    <cfRule type="expression" dxfId="350" priority="3">
      <formula>IF($C$4="Initiate PDP Not Within Scope",IF($F$32/$D$32&gt;0.5,1,0),0)</formula>
    </cfRule>
    <cfRule type="expression" dxfId="349" priority="4">
      <formula>IF($C$4="Approve PDP Team Charter for PDP Within Scope",IF($F$32/$D$32&gt;0.333,1,0),0)</formula>
    </cfRule>
    <cfRule type="expression" dxfId="348" priority="5">
      <formula>IF($C$4="Approve PDP Team Charter for PDP Not Within Scope",IF($F$32/$D$32&gt;0.5,1,0),0)</formula>
    </cfRule>
    <cfRule type="expression" dxfId="347" priority="6">
      <formula>IF($C$4="Amendment to an Approved PDP Team Charter",IF($F$32/$D$32&gt;0.5,1,0),0)</formula>
    </cfRule>
    <cfRule type="expression" dxfId="346" priority="7">
      <formula>IF($C$4="Terminate a PDP",IF($F$32/$D$32&gt;0.5,1,0),0)</formula>
    </cfRule>
    <cfRule type="expression" dxfId="345" priority="30">
      <formula>IF($C$4="Approve PDP Recommendation Without GNSO Super Majority",IF($F$32/$D$32&gt;0.5,1,0),0)</formula>
    </cfRule>
    <cfRule type="expression" dxfId="344" priority="34">
      <formula>IF($C$4="Approve PDP Recommendation With GNSO Super Majority",IF($F$32/$D$32&gt;0.5,1,0),0)</formula>
    </cfRule>
    <cfRule type="expression" dxfId="343" priority="35">
      <formula>IF($C$4="Approve PDP Recommendation Imposing New Obligations on Certain Contracting Parties",IF($F$32/$D$32&gt;0.5,1,0),0)</formula>
    </cfRule>
    <cfRule type="expression" dxfId="342" priority="36">
      <formula>IF($C$4="Modify or Amend an Approved PDP Recommendation",IF($F$32/$D$32&gt;0.5,1,0),0)</formula>
    </cfRule>
    <cfRule type="expression" dxfId="341" priority="37">
      <formula>IF($C$4="Initiate an Expedited PDP (EPDP)",IF($F$32/$D$32&gt;0.5,1,0),0)</formula>
    </cfRule>
    <cfRule type="expression" dxfId="340" priority="38">
      <formula>IF($C$4="Approve EPDP Charter",IF($F$32/$D$32&gt;0.5,1,0),0)</formula>
    </cfRule>
    <cfRule type="expression" dxfId="339" priority="39">
      <formula>IF($C$4="Approve EPDP Recommendations",IF($F$32/$D$32&gt;0.5,1,0),0)</formula>
    </cfRule>
    <cfRule type="expression" dxfId="338" priority="40">
      <formula>IF($C$4="Approve EPDP Recommendations Imposing New Obligations on Certain Contracting Parties",IF($F$32/$D$32&gt;0.5,1,0),0)</formula>
    </cfRule>
    <cfRule type="expression" dxfId="337" priority="41">
      <formula>IF($C$4="Initiate GNSO Guidance Process (GGP)",IF($F$32/$D$32&gt;0.33,1,0),0)</formula>
    </cfRule>
    <cfRule type="expression" dxfId="336" priority="63">
      <formula>IF($C$4="Reject Initiation of GGP Requested by the ICANN Board",IF($F$32/$D$32&gt;0.5,1,0),0)</formula>
    </cfRule>
    <cfRule type="expression" dxfId="335" priority="65">
      <formula>IF($C$4="Approve GGP Recommendations",IF($F$32/$D$32&gt;0.5,1,0),0)</formula>
    </cfRule>
    <cfRule type="expression" dxfId="334" priority="67">
      <formula>IF($C$4="All Other (Default)",IF($F$32/$D$32&gt;0.5,1,0),0)</formula>
    </cfRule>
  </conditionalFormatting>
  <conditionalFormatting sqref="C6:D6">
    <cfRule type="cellIs" dxfId="333" priority="28" operator="equal">
      <formula>"Fail"</formula>
    </cfRule>
    <cfRule type="cellIs" dxfId="332" priority="29" operator="equal">
      <formula>"Withdrawn"</formula>
    </cfRule>
    <cfRule type="cellIs" dxfId="331" priority="61" operator="equal">
      <formula>"Deferred"</formula>
    </cfRule>
    <cfRule type="cellIs" dxfId="330" priority="62" operator="equal">
      <formula>"Pass"</formula>
    </cfRule>
  </conditionalFormatting>
  <conditionalFormatting sqref="M4:M5">
    <cfRule type="expression" dxfId="329" priority="60">
      <formula>IF($C$4="Create Issue Report",1,0)</formula>
    </cfRule>
  </conditionalFormatting>
  <conditionalFormatting sqref="M6:M7">
    <cfRule type="expression" dxfId="328" priority="59">
      <formula>IF($C$4="Initiate PDP Within Scope",1,0)</formula>
    </cfRule>
  </conditionalFormatting>
  <conditionalFormatting sqref="M8:M9">
    <cfRule type="expression" dxfId="327" priority="58">
      <formula>IF($C$4="Initiate PDP Not Within Scope",1,0)</formula>
    </cfRule>
  </conditionalFormatting>
  <conditionalFormatting sqref="M10:M11">
    <cfRule type="expression" dxfId="326" priority="57">
      <formula>IF($C$4="Approve PDP Team Charter for PDP Within Scope",1,0)</formula>
    </cfRule>
  </conditionalFormatting>
  <conditionalFormatting sqref="M12:M13">
    <cfRule type="expression" dxfId="325" priority="56">
      <formula>IF($C$4="Approve PDP Team Charter for PDP Not Within Scope",1,0)</formula>
    </cfRule>
  </conditionalFormatting>
  <conditionalFormatting sqref="M14">
    <cfRule type="expression" dxfId="324" priority="55">
      <formula>IF($C$4="Amendment to an Approved PDP Team Charter",1,0)</formula>
    </cfRule>
  </conditionalFormatting>
  <conditionalFormatting sqref="M15:M16">
    <cfRule type="expression" dxfId="323" priority="54">
      <formula>IF($C$4="Terminate a PDP",1,0)</formula>
    </cfRule>
  </conditionalFormatting>
  <conditionalFormatting sqref="M17">
    <cfRule type="expression" dxfId="322" priority="53">
      <formula>IF($C$4="Approve PDP Recommendation Without GNSO Super Majority",1,0)</formula>
    </cfRule>
  </conditionalFormatting>
  <conditionalFormatting sqref="M18:M19">
    <cfRule type="expression" dxfId="321" priority="52">
      <formula>IF($C$4="Approve PDP Recommendation With GNSO Super Majority",1,0)</formula>
    </cfRule>
  </conditionalFormatting>
  <conditionalFormatting sqref="M20:M21">
    <cfRule type="expression" dxfId="320" priority="51">
      <formula>IF($C$4="Approve PDP Recommendation Imposing New Obligations on Certain Contracting Parties",1,0)</formula>
    </cfRule>
  </conditionalFormatting>
  <conditionalFormatting sqref="M22">
    <cfRule type="expression" dxfId="319" priority="50">
      <formula>IF($C$4="Modify or Amend an Approved PDP Recommendation",1,0)</formula>
    </cfRule>
  </conditionalFormatting>
  <conditionalFormatting sqref="M23">
    <cfRule type="expression" dxfId="318" priority="33">
      <formula>IF($C$4="Modify or Amend an Approved PDP Recommendation",1,0)</formula>
    </cfRule>
  </conditionalFormatting>
  <conditionalFormatting sqref="M38">
    <cfRule type="expression" dxfId="317" priority="32">
      <formula>IF($C$4="All Other (Default)",1,0)</formula>
    </cfRule>
  </conditionalFormatting>
  <conditionalFormatting sqref="M24">
    <cfRule type="expression" dxfId="316" priority="27">
      <formula>IF($C$4="Initiate an Expedited PDP (EPDP)",1,0)</formula>
    </cfRule>
  </conditionalFormatting>
  <conditionalFormatting sqref="M25">
    <cfRule type="expression" dxfId="315" priority="26">
      <formula>IF($C$4="Initiate an Expedited PDP (EPDP)",1,0)</formula>
    </cfRule>
  </conditionalFormatting>
  <conditionalFormatting sqref="M26">
    <cfRule type="expression" dxfId="314" priority="25">
      <formula>IF($C$4="Approve EPDP Charter",1,0)</formula>
    </cfRule>
  </conditionalFormatting>
  <conditionalFormatting sqref="M27">
    <cfRule type="expression" dxfId="313" priority="24">
      <formula>IF($C$4="Approve EPDP Charter",1,0)</formula>
    </cfRule>
  </conditionalFormatting>
  <conditionalFormatting sqref="M28">
    <cfRule type="expression" dxfId="312" priority="23">
      <formula>IF($C$4="Approve EPDP Recommendations",1,0)</formula>
    </cfRule>
  </conditionalFormatting>
  <conditionalFormatting sqref="M29">
    <cfRule type="expression" dxfId="311" priority="22">
      <formula>IF($C$4="Approve EPDP Recommendations",1,0)</formula>
    </cfRule>
  </conditionalFormatting>
  <conditionalFormatting sqref="M30">
    <cfRule type="expression" dxfId="310" priority="21">
      <formula>IF($C$4="Approve EPDP Recommendations Imposing New Obligations on Certain Contracting Parties",1,0)</formula>
    </cfRule>
  </conditionalFormatting>
  <conditionalFormatting sqref="M31">
    <cfRule type="expression" dxfId="309" priority="20">
      <formula>IF($C$4="Approve EPDP Recommendations Imposing New Obligations on Certain Contracting Parties",1,0)</formula>
    </cfRule>
  </conditionalFormatting>
  <conditionalFormatting sqref="M32:M33">
    <cfRule type="expression" dxfId="308" priority="19">
      <formula>IF($C$4="Initiate GNSO Guidance Process (GGP)",1,0)</formula>
    </cfRule>
  </conditionalFormatting>
  <conditionalFormatting sqref="M34">
    <cfRule type="expression" dxfId="307" priority="18">
      <formula>IF($C$4="Reject Initiation of GGP Requested by the ICANN Board",1,0)</formula>
    </cfRule>
  </conditionalFormatting>
  <conditionalFormatting sqref="M35">
    <cfRule type="expression" dxfId="306" priority="17">
      <formula>IF($C$4="Reject Initiation of GGP Requested by the ICANN Board",1,0)</formula>
    </cfRule>
  </conditionalFormatting>
  <conditionalFormatting sqref="M36">
    <cfRule type="expression" dxfId="305" priority="16">
      <formula>IF($C$4="Approve GGP Recommendations",1,0)</formula>
    </cfRule>
  </conditionalFormatting>
  <conditionalFormatting sqref="M37">
    <cfRule type="expression" dxfId="304" priority="15">
      <formula>IF($C$4="Approve GGP Recommendations",1,0)</formula>
    </cfRule>
  </conditionalFormatting>
  <dataValidations count="2">
    <dataValidation type="whole" allowBlank="1" showInputMessage="1" showErrorMessage="1" errorTitle="Wrong Value" error="Must be 0, 1, or Blank" sqref="F12:I30">
      <formula1>0</formula1>
      <formula2>1</formula2>
    </dataValidation>
    <dataValidation type="whole" allowBlank="1" showErrorMessage="1" errorTitle="Wrong Value" error="Must be 0, 1, or Blank" sqref="F9:I11">
      <formula1>0</formula1>
      <formula2>1</formula2>
    </dataValidation>
  </dataValidations>
  <pageMargins left="0.2" right="0.2" top="0.25" bottom="0.25" header="0.3" footer="0.3"/>
  <pageSetup scale="39" orientation="landscape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87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88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81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42656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FAIL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0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0.41488338683730674</v>
      </c>
      <c r="G63" s="5">
        <f t="shared" ref="G63:G82" ca="1" si="1">INDEX($E$63:$E$82,RANK(F63,$F$63:$F$82))</f>
        <v>5</v>
      </c>
      <c r="H63" s="13">
        <f ca="1">G63</f>
        <v>5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0.32184655088797909</v>
      </c>
      <c r="G64" s="5">
        <f t="shared" ca="1" si="1"/>
        <v>10</v>
      </c>
      <c r="H64" s="13">
        <f t="shared" ref="H64:H82" ca="1" si="2">G64</f>
        <v>10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9.1940150382387675E-2</v>
      </c>
      <c r="G65" s="5">
        <f t="shared" ca="1" si="1"/>
        <v>14</v>
      </c>
      <c r="H65" s="13">
        <f t="shared" ca="1" si="2"/>
        <v>14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0.37880224578862198</v>
      </c>
      <c r="G66" s="5">
        <f t="shared" ca="1" si="1"/>
        <v>7</v>
      </c>
      <c r="H66" s="13">
        <f t="shared" ca="1" si="2"/>
        <v>7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8.7475692807072902E-2</v>
      </c>
      <c r="G67" s="5">
        <f t="shared" ca="1" si="1"/>
        <v>15</v>
      </c>
      <c r="H67" s="13">
        <f t="shared" ca="1" si="2"/>
        <v>15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4.0942421335782964E-2</v>
      </c>
      <c r="G68" s="5">
        <f t="shared" ca="1" si="1"/>
        <v>17</v>
      </c>
      <c r="H68" s="13">
        <f t="shared" ca="1" si="2"/>
        <v>17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0.37219598797455422</v>
      </c>
      <c r="G69" s="5">
        <f t="shared" ca="1" si="1"/>
        <v>8</v>
      </c>
      <c r="H69" s="13">
        <f t="shared" ca="1" si="2"/>
        <v>8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0.23990709199564975</v>
      </c>
      <c r="G70" s="5">
        <f t="shared" ca="1" si="1"/>
        <v>11</v>
      </c>
      <c r="H70" s="13">
        <f t="shared" ca="1" si="2"/>
        <v>11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0.68616852178023791</v>
      </c>
      <c r="G71" s="5">
        <f t="shared" ca="1" si="1"/>
        <v>3</v>
      </c>
      <c r="H71" s="13">
        <f t="shared" ca="1" si="2"/>
        <v>3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2.1514136450803356E-2</v>
      </c>
      <c r="G72" s="5">
        <f t="shared" ca="1" si="1"/>
        <v>20</v>
      </c>
      <c r="H72" s="13">
        <f t="shared" ca="1" si="2"/>
        <v>20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0.70423130970934644</v>
      </c>
      <c r="G73" s="5">
        <f t="shared" ca="1" si="1"/>
        <v>2</v>
      </c>
      <c r="H73" s="13">
        <f t="shared" ca="1" si="2"/>
        <v>2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9.843591288750253E-2</v>
      </c>
      <c r="G74" s="5">
        <f t="shared" ca="1" si="1"/>
        <v>13</v>
      </c>
      <c r="H74" s="13">
        <f t="shared" ca="1" si="2"/>
        <v>13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0.61841455358721731</v>
      </c>
      <c r="G75" s="5">
        <f t="shared" ca="1" si="1"/>
        <v>4</v>
      </c>
      <c r="H75" s="13">
        <f t="shared" ca="1" si="2"/>
        <v>4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8.6760445221866433E-2</v>
      </c>
      <c r="G76" s="5">
        <f t="shared" ca="1" si="1"/>
        <v>16</v>
      </c>
      <c r="H76" s="13">
        <f t="shared" ca="1" si="2"/>
        <v>16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4.0313782928110942E-2</v>
      </c>
      <c r="G77" s="5">
        <f t="shared" ca="1" si="1"/>
        <v>18</v>
      </c>
      <c r="H77" s="13">
        <f t="shared" ca="1" si="2"/>
        <v>18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0.35910545853098841</v>
      </c>
      <c r="G78" s="5">
        <f t="shared" ca="1" si="1"/>
        <v>9</v>
      </c>
      <c r="H78" s="13">
        <f t="shared" ca="1" si="2"/>
        <v>9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3.6645604738265058E-2</v>
      </c>
      <c r="G79" s="5">
        <f t="shared" ca="1" si="1"/>
        <v>19</v>
      </c>
      <c r="H79" s="13">
        <f t="shared" ca="1" si="2"/>
        <v>19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0.40742656229727636</v>
      </c>
      <c r="G80" s="5">
        <f t="shared" ca="1" si="1"/>
        <v>6</v>
      </c>
      <c r="H80" s="13">
        <f t="shared" ca="1" si="2"/>
        <v>6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0.16636738755763247</v>
      </c>
      <c r="G81" s="5">
        <f t="shared" ca="1" si="1"/>
        <v>12</v>
      </c>
      <c r="H81" s="13">
        <f t="shared" ca="1" si="2"/>
        <v>12</v>
      </c>
    </row>
    <row r="82" spans="2:8" s="1" customFormat="1" ht="15.75" hidden="1">
      <c r="C82" s="2"/>
      <c r="D82" s="2"/>
      <c r="E82" s="5">
        <v>20</v>
      </c>
      <c r="F82" s="5">
        <f t="shared" ca="1" si="0"/>
        <v>0.73596370472668371</v>
      </c>
      <c r="G82" s="5">
        <f t="shared" ca="1" si="1"/>
        <v>1</v>
      </c>
      <c r="H82" s="13">
        <f t="shared" ca="1" si="2"/>
        <v>1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303" priority="75" stopIfTrue="1">
      <formula>SUM(F9:I9)=0</formula>
    </cfRule>
    <cfRule type="expression" dxfId="302" priority="76" stopIfTrue="1">
      <formula>SUM(F9:I9)&gt;1</formula>
    </cfRule>
  </conditionalFormatting>
  <conditionalFormatting sqref="D31">
    <cfRule type="cellIs" dxfId="301" priority="73" stopIfTrue="1" operator="equal">
      <formula>7</formula>
    </cfRule>
    <cfRule type="cellIs" dxfId="300" priority="74" stopIfTrue="1" operator="lessThan">
      <formula>7</formula>
    </cfRule>
  </conditionalFormatting>
  <conditionalFormatting sqref="D32">
    <cfRule type="cellIs" dxfId="299" priority="71" stopIfTrue="1" operator="equal">
      <formula>13</formula>
    </cfRule>
    <cfRule type="cellIs" dxfId="298" priority="72" stopIfTrue="1" operator="lessThan">
      <formula>13</formula>
    </cfRule>
  </conditionalFormatting>
  <conditionalFormatting sqref="B10:B28">
    <cfRule type="expression" dxfId="297" priority="69" stopIfTrue="1">
      <formula>SUM(F10:I10)=0</formula>
    </cfRule>
    <cfRule type="expression" dxfId="296" priority="70" stopIfTrue="1">
      <formula>SUM(F10:I10)&gt;1</formula>
    </cfRule>
  </conditionalFormatting>
  <conditionalFormatting sqref="C31">
    <cfRule type="expression" dxfId="295" priority="8">
      <formula>IF($C$4="Create Issue Report",IF($F$31/$D$31&gt;0.25,1,0),0)</formula>
    </cfRule>
    <cfRule type="expression" dxfId="294" priority="9">
      <formula>IF($C$4="Initiate PDP Within Scope",IF($F$31/$D$31&gt;0.333,1,0),0)</formula>
    </cfRule>
    <cfRule type="expression" dxfId="293" priority="10">
      <formula>IF($C$4="Initiate PDP Not Within Scope",IF($F$31/$D$31&gt;0.5,1,0),0)</formula>
    </cfRule>
    <cfRule type="expression" dxfId="292" priority="11">
      <formula>IF($C$4="Approve PDP Team Charter for PDP Within Scope",IF($F$31/$D$31&gt;0.333,1,0),0)</formula>
    </cfRule>
    <cfRule type="expression" dxfId="291" priority="12">
      <formula>IF($C$4="Approve PDP Team Charter for PDP Not Within Scope",IF($F$31/$D$31&gt;0.5,1,0),0)</formula>
    </cfRule>
    <cfRule type="expression" dxfId="290" priority="13">
      <formula>IF($C$4="Amendment to an Approved PDP Team Charter",IF($F$31/$D$31&gt;0.5,1,0),0)</formula>
    </cfRule>
    <cfRule type="expression" dxfId="289" priority="14">
      <formula>IF($C$4="Terminate a PDP",IF($F$31/$D$31&gt;0.5,1,0),0)</formula>
    </cfRule>
    <cfRule type="expression" dxfId="288" priority="31">
      <formula>IF($C$4="Approve PDP Recommendation Without GNSO Super Majority",IF($F$31/$D$31&gt;0.5,1,0),0)</formula>
    </cfRule>
    <cfRule type="expression" dxfId="287" priority="42">
      <formula>IF($C$4="Approve PDP Recommendation With GNSO Super Majority",IF($F$31/$D$31&gt;0.5,1,0),0)</formula>
    </cfRule>
    <cfRule type="expression" dxfId="286" priority="43">
      <formula>IF($C$4="Approve PDP Recommendation Imposing New Obligations on Certain Contracting Parties",IF($F$31/$D$31&gt;0.5,1,0),0)</formula>
    </cfRule>
    <cfRule type="expression" dxfId="285" priority="44">
      <formula>IF($C$4="Modify or Amend an Approved PDP Recommendation",IF($F$31/$D$31&gt;0.5,1,0),0)</formula>
    </cfRule>
    <cfRule type="expression" dxfId="284" priority="45">
      <formula>IF($C$4="Initiate an Expedited PDP (EPDP)",IF($F$31/$D$31&gt;0.5,1,0),0)</formula>
    </cfRule>
    <cfRule type="expression" dxfId="283" priority="46">
      <formula>IF($C$4="Approve EPDP Charter",IF($F$31/$D$31&gt;0.5,1,0),0)</formula>
    </cfRule>
    <cfRule type="expression" dxfId="282" priority="47">
      <formula>IF($C$4="Approve EPDP Recommendations",IF($F$31/$D$31&gt;0.5,1,0),0)</formula>
    </cfRule>
    <cfRule type="expression" dxfId="281" priority="48">
      <formula>IF($C$4="Approve EPDP Recommendations Imposing New Obligations on Certain Contracting Parties",IF($F$31/$D$31&gt;0.5,1,0),0)</formula>
    </cfRule>
    <cfRule type="expression" dxfId="280" priority="49">
      <formula>IF($C$4="Initiate GNSO Guidance Process (GGP)",IF($F$31/$D$31&gt;0.33,1,0),0)</formula>
    </cfRule>
    <cfRule type="expression" dxfId="279" priority="64">
      <formula>IF($C$4="Reject Initiation of GGP Requested by the ICANN Board",IF($F$31/$D$31&gt;0.5,1,0),0)</formula>
    </cfRule>
    <cfRule type="expression" dxfId="278" priority="66">
      <formula>IF($C$4="Approve GGP Recommendations",IF($F$31/$D$31&gt;0.5,1,0),0)</formula>
    </cfRule>
    <cfRule type="expression" dxfId="277" priority="68">
      <formula>IF($C$4="All Other (Default)",IF($F$31/$D$31&gt;0.5,1,0),0)</formula>
    </cfRule>
  </conditionalFormatting>
  <conditionalFormatting sqref="C32">
    <cfRule type="expression" dxfId="276" priority="1">
      <formula>IF($C$4="Create Issue Report",IF($F$32/$D$32&gt;0.25,1,0),0)</formula>
    </cfRule>
    <cfRule type="expression" dxfId="275" priority="2">
      <formula>IF($C$4="Initiate PDP Within Scope",IF($F$32/$D$32&gt;0.333,1,0),0)</formula>
    </cfRule>
    <cfRule type="expression" dxfId="274" priority="3">
      <formula>IF($C$4="Initiate PDP Not Within Scope",IF($F$32/$D$32&gt;0.5,1,0),0)</formula>
    </cfRule>
    <cfRule type="expression" dxfId="273" priority="4">
      <formula>IF($C$4="Approve PDP Team Charter for PDP Within Scope",IF($F$32/$D$32&gt;0.333,1,0),0)</formula>
    </cfRule>
    <cfRule type="expression" dxfId="272" priority="5">
      <formula>IF($C$4="Approve PDP Team Charter for PDP Not Within Scope",IF($F$32/$D$32&gt;0.5,1,0),0)</formula>
    </cfRule>
    <cfRule type="expression" dxfId="271" priority="6">
      <formula>IF($C$4="Amendment to an Approved PDP Team Charter",IF($F$32/$D$32&gt;0.5,1,0),0)</formula>
    </cfRule>
    <cfRule type="expression" dxfId="270" priority="7">
      <formula>IF($C$4="Terminate a PDP",IF($F$32/$D$32&gt;0.5,1,0),0)</formula>
    </cfRule>
    <cfRule type="expression" dxfId="269" priority="30">
      <formula>IF($C$4="Approve PDP Recommendation Without GNSO Super Majority",IF($F$32/$D$32&gt;0.5,1,0),0)</formula>
    </cfRule>
    <cfRule type="expression" dxfId="268" priority="34">
      <formula>IF($C$4="Approve PDP Recommendation With GNSO Super Majority",IF($F$32/$D$32&gt;0.5,1,0),0)</formula>
    </cfRule>
    <cfRule type="expression" dxfId="267" priority="35">
      <formula>IF($C$4="Approve PDP Recommendation Imposing New Obligations on Certain Contracting Parties",IF($F$32/$D$32&gt;0.5,1,0),0)</formula>
    </cfRule>
    <cfRule type="expression" dxfId="266" priority="36">
      <formula>IF($C$4="Modify or Amend an Approved PDP Recommendation",IF($F$32/$D$32&gt;0.5,1,0),0)</formula>
    </cfRule>
    <cfRule type="expression" dxfId="265" priority="37">
      <formula>IF($C$4="Initiate an Expedited PDP (EPDP)",IF($F$32/$D$32&gt;0.5,1,0),0)</formula>
    </cfRule>
    <cfRule type="expression" dxfId="264" priority="38">
      <formula>IF($C$4="Approve EPDP Charter",IF($F$32/$D$32&gt;0.5,1,0),0)</formula>
    </cfRule>
    <cfRule type="expression" dxfId="263" priority="39">
      <formula>IF($C$4="Approve EPDP Recommendations",IF($F$32/$D$32&gt;0.5,1,0),0)</formula>
    </cfRule>
    <cfRule type="expression" dxfId="262" priority="40">
      <formula>IF($C$4="Approve EPDP Recommendations Imposing New Obligations on Certain Contracting Parties",IF($F$32/$D$32&gt;0.5,1,0),0)</formula>
    </cfRule>
    <cfRule type="expression" dxfId="261" priority="41">
      <formula>IF($C$4="Initiate GNSO Guidance Process (GGP)",IF($F$32/$D$32&gt;0.33,1,0),0)</formula>
    </cfRule>
    <cfRule type="expression" dxfId="260" priority="63">
      <formula>IF($C$4="Reject Initiation of GGP Requested by the ICANN Board",IF($F$32/$D$32&gt;0.5,1,0),0)</formula>
    </cfRule>
    <cfRule type="expression" dxfId="259" priority="65">
      <formula>IF($C$4="Approve GGP Recommendations",IF($F$32/$D$32&gt;0.5,1,0),0)</formula>
    </cfRule>
    <cfRule type="expression" dxfId="258" priority="67">
      <formula>IF($C$4="All Other (Default)",IF($F$32/$D$32&gt;0.5,1,0),0)</formula>
    </cfRule>
  </conditionalFormatting>
  <conditionalFormatting sqref="C6:D6">
    <cfRule type="cellIs" dxfId="257" priority="28" operator="equal">
      <formula>"Fail"</formula>
    </cfRule>
    <cfRule type="cellIs" dxfId="256" priority="29" operator="equal">
      <formula>"Withdrawn"</formula>
    </cfRule>
    <cfRule type="cellIs" dxfId="255" priority="61" operator="equal">
      <formula>"Deferred"</formula>
    </cfRule>
    <cfRule type="cellIs" dxfId="254" priority="62" operator="equal">
      <formula>"Pass"</formula>
    </cfRule>
  </conditionalFormatting>
  <conditionalFormatting sqref="M4:M5">
    <cfRule type="expression" dxfId="253" priority="60">
      <formula>IF($C$4="Create Issue Report",1,0)</formula>
    </cfRule>
  </conditionalFormatting>
  <conditionalFormatting sqref="M6:M7">
    <cfRule type="expression" dxfId="252" priority="59">
      <formula>IF($C$4="Initiate PDP Within Scope",1,0)</formula>
    </cfRule>
  </conditionalFormatting>
  <conditionalFormatting sqref="M8:M9">
    <cfRule type="expression" dxfId="251" priority="58">
      <formula>IF($C$4="Initiate PDP Not Within Scope",1,0)</formula>
    </cfRule>
  </conditionalFormatting>
  <conditionalFormatting sqref="M10:M11">
    <cfRule type="expression" dxfId="250" priority="57">
      <formula>IF($C$4="Approve PDP Team Charter for PDP Within Scope",1,0)</formula>
    </cfRule>
  </conditionalFormatting>
  <conditionalFormatting sqref="M12:M13">
    <cfRule type="expression" dxfId="249" priority="56">
      <formula>IF($C$4="Approve PDP Team Charter for PDP Not Within Scope",1,0)</formula>
    </cfRule>
  </conditionalFormatting>
  <conditionalFormatting sqref="M14">
    <cfRule type="expression" dxfId="248" priority="55">
      <formula>IF($C$4="Amendment to an Approved PDP Team Charter",1,0)</formula>
    </cfRule>
  </conditionalFormatting>
  <conditionalFormatting sqref="M15:M16">
    <cfRule type="expression" dxfId="247" priority="54">
      <formula>IF($C$4="Terminate a PDP",1,0)</formula>
    </cfRule>
  </conditionalFormatting>
  <conditionalFormatting sqref="M17">
    <cfRule type="expression" dxfId="246" priority="53">
      <formula>IF($C$4="Approve PDP Recommendation Without GNSO Super Majority",1,0)</formula>
    </cfRule>
  </conditionalFormatting>
  <conditionalFormatting sqref="M18:M19">
    <cfRule type="expression" dxfId="245" priority="52">
      <formula>IF($C$4="Approve PDP Recommendation With GNSO Super Majority",1,0)</formula>
    </cfRule>
  </conditionalFormatting>
  <conditionalFormatting sqref="M20:M21">
    <cfRule type="expression" dxfId="244" priority="51">
      <formula>IF($C$4="Approve PDP Recommendation Imposing New Obligations on Certain Contracting Parties",1,0)</formula>
    </cfRule>
  </conditionalFormatting>
  <conditionalFormatting sqref="M22">
    <cfRule type="expression" dxfId="243" priority="50">
      <formula>IF($C$4="Modify or Amend an Approved PDP Recommendation",1,0)</formula>
    </cfRule>
  </conditionalFormatting>
  <conditionalFormatting sqref="M23">
    <cfRule type="expression" dxfId="242" priority="33">
      <formula>IF($C$4="Modify or Amend an Approved PDP Recommendation",1,0)</formula>
    </cfRule>
  </conditionalFormatting>
  <conditionalFormatting sqref="M38">
    <cfRule type="expression" dxfId="241" priority="32">
      <formula>IF($C$4="All Other (Default)",1,0)</formula>
    </cfRule>
  </conditionalFormatting>
  <conditionalFormatting sqref="M24">
    <cfRule type="expression" dxfId="240" priority="27">
      <formula>IF($C$4="Initiate an Expedited PDP (EPDP)",1,0)</formula>
    </cfRule>
  </conditionalFormatting>
  <conditionalFormatting sqref="M25">
    <cfRule type="expression" dxfId="239" priority="26">
      <formula>IF($C$4="Initiate an Expedited PDP (EPDP)",1,0)</formula>
    </cfRule>
  </conditionalFormatting>
  <conditionalFormatting sqref="M26">
    <cfRule type="expression" dxfId="238" priority="25">
      <formula>IF($C$4="Approve EPDP Charter",1,0)</formula>
    </cfRule>
  </conditionalFormatting>
  <conditionalFormatting sqref="M27">
    <cfRule type="expression" dxfId="237" priority="24">
      <formula>IF($C$4="Approve EPDP Charter",1,0)</formula>
    </cfRule>
  </conditionalFormatting>
  <conditionalFormatting sqref="M28">
    <cfRule type="expression" dxfId="236" priority="23">
      <formula>IF($C$4="Approve EPDP Recommendations",1,0)</formula>
    </cfRule>
  </conditionalFormatting>
  <conditionalFormatting sqref="M29">
    <cfRule type="expression" dxfId="235" priority="22">
      <formula>IF($C$4="Approve EPDP Recommendations",1,0)</formula>
    </cfRule>
  </conditionalFormatting>
  <conditionalFormatting sqref="M30">
    <cfRule type="expression" dxfId="234" priority="21">
      <formula>IF($C$4="Approve EPDP Recommendations Imposing New Obligations on Certain Contracting Parties",1,0)</formula>
    </cfRule>
  </conditionalFormatting>
  <conditionalFormatting sqref="M31">
    <cfRule type="expression" dxfId="233" priority="20">
      <formula>IF($C$4="Approve EPDP Recommendations Imposing New Obligations on Certain Contracting Parties",1,0)</formula>
    </cfRule>
  </conditionalFormatting>
  <conditionalFormatting sqref="M32:M33">
    <cfRule type="expression" dxfId="232" priority="19">
      <formula>IF($C$4="Initiate GNSO Guidance Process (GGP)",1,0)</formula>
    </cfRule>
  </conditionalFormatting>
  <conditionalFormatting sqref="M34">
    <cfRule type="expression" dxfId="231" priority="18">
      <formula>IF($C$4="Reject Initiation of GGP Requested by the ICANN Board",1,0)</formula>
    </cfRule>
  </conditionalFormatting>
  <conditionalFormatting sqref="M35">
    <cfRule type="expression" dxfId="230" priority="17">
      <formula>IF($C$4="Reject Initiation of GGP Requested by the ICANN Board",1,0)</formula>
    </cfRule>
  </conditionalFormatting>
  <conditionalFormatting sqref="M36">
    <cfRule type="expression" dxfId="229" priority="16">
      <formula>IF($C$4="Approve GGP Recommendations",1,0)</formula>
    </cfRule>
  </conditionalFormatting>
  <conditionalFormatting sqref="M37">
    <cfRule type="expression" dxfId="228" priority="15">
      <formula>IF($C$4="Approve GGP Recommendations",1,0)</formula>
    </cfRule>
  </conditionalFormatting>
  <dataValidations count="2">
    <dataValidation type="whole" allowBlank="1" showErrorMessage="1" errorTitle="Wrong Value" error="Must be 0, 1, or Blank" sqref="F9:I11">
      <formula1>0</formula1>
      <formula2>1</formula2>
    </dataValidation>
    <dataValidation type="whole" allowBlank="1" showInputMessage="1" showErrorMessage="1" errorTitle="Wrong Value" error="Must be 0, 1, or Blank" sqref="F12:I30">
      <formula1>0</formula1>
      <formula2>1</formula2>
    </dataValidation>
  </dataValidations>
  <pageMargins left="0.2" right="0.2" top="0.25" bottom="0.25" header="0.3" footer="0.3"/>
  <pageSetup scale="39" orientation="landscape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87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88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81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42656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FAIL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0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0.11826364225344044</v>
      </c>
      <c r="G63" s="5">
        <f t="shared" ref="G63:G82" ca="1" si="1">INDEX($E$63:$E$82,RANK(F63,$F$63:$F$82))</f>
        <v>19</v>
      </c>
      <c r="H63" s="13">
        <f ca="1">G63</f>
        <v>19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0.91705033950809456</v>
      </c>
      <c r="G64" s="5">
        <f t="shared" ca="1" si="1"/>
        <v>2</v>
      </c>
      <c r="H64" s="13">
        <f t="shared" ref="H64:H82" ca="1" si="2">G64</f>
        <v>2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0.32742942853425328</v>
      </c>
      <c r="G65" s="5">
        <f t="shared" ca="1" si="1"/>
        <v>14</v>
      </c>
      <c r="H65" s="13">
        <f t="shared" ca="1" si="2"/>
        <v>14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0.61098399482399512</v>
      </c>
      <c r="G66" s="5">
        <f t="shared" ca="1" si="1"/>
        <v>8</v>
      </c>
      <c r="H66" s="13">
        <f t="shared" ca="1" si="2"/>
        <v>8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0.68768823710526472</v>
      </c>
      <c r="G67" s="5">
        <f t="shared" ca="1" si="1"/>
        <v>7</v>
      </c>
      <c r="H67" s="13">
        <f t="shared" ca="1" si="2"/>
        <v>7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0.25118272308105694</v>
      </c>
      <c r="G68" s="5">
        <f t="shared" ca="1" si="1"/>
        <v>16</v>
      </c>
      <c r="H68" s="13">
        <f t="shared" ca="1" si="2"/>
        <v>16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0.55675473310811563</v>
      </c>
      <c r="G69" s="5">
        <f t="shared" ca="1" si="1"/>
        <v>10</v>
      </c>
      <c r="H69" s="13">
        <f t="shared" ca="1" si="2"/>
        <v>10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0.86762592851309217</v>
      </c>
      <c r="G70" s="5">
        <f t="shared" ca="1" si="1"/>
        <v>4</v>
      </c>
      <c r="H70" s="13">
        <f t="shared" ca="1" si="2"/>
        <v>4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0.41891838925025215</v>
      </c>
      <c r="G71" s="5">
        <f t="shared" ca="1" si="1"/>
        <v>11</v>
      </c>
      <c r="H71" s="13">
        <f t="shared" ca="1" si="2"/>
        <v>11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0.92014579412640152</v>
      </c>
      <c r="G72" s="5">
        <f t="shared" ca="1" si="1"/>
        <v>1</v>
      </c>
      <c r="H72" s="13">
        <f t="shared" ca="1" si="2"/>
        <v>1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0.19980044280499654</v>
      </c>
      <c r="G73" s="5">
        <f t="shared" ca="1" si="1"/>
        <v>18</v>
      </c>
      <c r="H73" s="13">
        <f t="shared" ca="1" si="2"/>
        <v>18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2.3524727522565514E-2</v>
      </c>
      <c r="G74" s="5">
        <f t="shared" ca="1" si="1"/>
        <v>20</v>
      </c>
      <c r="H74" s="13">
        <f t="shared" ca="1" si="2"/>
        <v>20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0.91012931475641556</v>
      </c>
      <c r="G75" s="5">
        <f t="shared" ca="1" si="1"/>
        <v>3</v>
      </c>
      <c r="H75" s="13">
        <f t="shared" ca="1" si="2"/>
        <v>3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0.20739307577056731</v>
      </c>
      <c r="G76" s="5">
        <f t="shared" ca="1" si="1"/>
        <v>17</v>
      </c>
      <c r="H76" s="13">
        <f t="shared" ca="1" si="2"/>
        <v>17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0.77336391799332516</v>
      </c>
      <c r="G77" s="5">
        <f t="shared" ca="1" si="1"/>
        <v>6</v>
      </c>
      <c r="H77" s="13">
        <f t="shared" ca="1" si="2"/>
        <v>6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0.41806932819570752</v>
      </c>
      <c r="G78" s="5">
        <f t="shared" ca="1" si="1"/>
        <v>12</v>
      </c>
      <c r="H78" s="13">
        <f t="shared" ca="1" si="2"/>
        <v>12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0.57500179110077354</v>
      </c>
      <c r="G79" s="5">
        <f t="shared" ca="1" si="1"/>
        <v>9</v>
      </c>
      <c r="H79" s="13">
        <f t="shared" ca="1" si="2"/>
        <v>9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0.32564393138701087</v>
      </c>
      <c r="G80" s="5">
        <f t="shared" ca="1" si="1"/>
        <v>15</v>
      </c>
      <c r="H80" s="13">
        <f t="shared" ca="1" si="2"/>
        <v>15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0.85407017156208975</v>
      </c>
      <c r="G81" s="5">
        <f t="shared" ca="1" si="1"/>
        <v>5</v>
      </c>
      <c r="H81" s="13">
        <f t="shared" ca="1" si="2"/>
        <v>5</v>
      </c>
    </row>
    <row r="82" spans="2:8" s="1" customFormat="1" ht="15.75" hidden="1">
      <c r="C82" s="2"/>
      <c r="D82" s="2"/>
      <c r="E82" s="5">
        <v>20</v>
      </c>
      <c r="F82" s="5">
        <f t="shared" ca="1" si="0"/>
        <v>0.39088421709313814</v>
      </c>
      <c r="G82" s="5">
        <f t="shared" ca="1" si="1"/>
        <v>13</v>
      </c>
      <c r="H82" s="13">
        <f t="shared" ca="1" si="2"/>
        <v>13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227" priority="75" stopIfTrue="1">
      <formula>SUM(F9:I9)=0</formula>
    </cfRule>
    <cfRule type="expression" dxfId="226" priority="76" stopIfTrue="1">
      <formula>SUM(F9:I9)&gt;1</formula>
    </cfRule>
  </conditionalFormatting>
  <conditionalFormatting sqref="D31">
    <cfRule type="cellIs" dxfId="225" priority="73" stopIfTrue="1" operator="equal">
      <formula>7</formula>
    </cfRule>
    <cfRule type="cellIs" dxfId="224" priority="74" stopIfTrue="1" operator="lessThan">
      <formula>7</formula>
    </cfRule>
  </conditionalFormatting>
  <conditionalFormatting sqref="D32">
    <cfRule type="cellIs" dxfId="223" priority="71" stopIfTrue="1" operator="equal">
      <formula>13</formula>
    </cfRule>
    <cfRule type="cellIs" dxfId="222" priority="72" stopIfTrue="1" operator="lessThan">
      <formula>13</formula>
    </cfRule>
  </conditionalFormatting>
  <conditionalFormatting sqref="B10:B28">
    <cfRule type="expression" dxfId="221" priority="69" stopIfTrue="1">
      <formula>SUM(F10:I10)=0</formula>
    </cfRule>
    <cfRule type="expression" dxfId="220" priority="70" stopIfTrue="1">
      <formula>SUM(F10:I10)&gt;1</formula>
    </cfRule>
  </conditionalFormatting>
  <conditionalFormatting sqref="C31">
    <cfRule type="expression" dxfId="219" priority="8">
      <formula>IF($C$4="Create Issue Report",IF($F$31/$D$31&gt;0.25,1,0),0)</formula>
    </cfRule>
    <cfRule type="expression" dxfId="218" priority="9">
      <formula>IF($C$4="Initiate PDP Within Scope",IF($F$31/$D$31&gt;0.333,1,0),0)</formula>
    </cfRule>
    <cfRule type="expression" dxfId="217" priority="10">
      <formula>IF($C$4="Initiate PDP Not Within Scope",IF($F$31/$D$31&gt;0.5,1,0),0)</formula>
    </cfRule>
    <cfRule type="expression" dxfId="216" priority="11">
      <formula>IF($C$4="Approve PDP Team Charter for PDP Within Scope",IF($F$31/$D$31&gt;0.333,1,0),0)</formula>
    </cfRule>
    <cfRule type="expression" dxfId="215" priority="12">
      <formula>IF($C$4="Approve PDP Team Charter for PDP Not Within Scope",IF($F$31/$D$31&gt;0.5,1,0),0)</formula>
    </cfRule>
    <cfRule type="expression" dxfId="214" priority="13">
      <formula>IF($C$4="Amendment to an Approved PDP Team Charter",IF($F$31/$D$31&gt;0.5,1,0),0)</formula>
    </cfRule>
    <cfRule type="expression" dxfId="213" priority="14">
      <formula>IF($C$4="Terminate a PDP",IF($F$31/$D$31&gt;0.5,1,0),0)</formula>
    </cfRule>
    <cfRule type="expression" dxfId="212" priority="31">
      <formula>IF($C$4="Approve PDP Recommendation Without GNSO Super Majority",IF($F$31/$D$31&gt;0.5,1,0),0)</formula>
    </cfRule>
    <cfRule type="expression" dxfId="211" priority="42">
      <formula>IF($C$4="Approve PDP Recommendation With GNSO Super Majority",IF($F$31/$D$31&gt;0.5,1,0),0)</formula>
    </cfRule>
    <cfRule type="expression" dxfId="210" priority="43">
      <formula>IF($C$4="Approve PDP Recommendation Imposing New Obligations on Certain Contracting Parties",IF($F$31/$D$31&gt;0.5,1,0),0)</formula>
    </cfRule>
    <cfRule type="expression" dxfId="209" priority="44">
      <formula>IF($C$4="Modify or Amend an Approved PDP Recommendation",IF($F$31/$D$31&gt;0.5,1,0),0)</formula>
    </cfRule>
    <cfRule type="expression" dxfId="208" priority="45">
      <formula>IF($C$4="Initiate an Expedited PDP (EPDP)",IF($F$31/$D$31&gt;0.5,1,0),0)</formula>
    </cfRule>
    <cfRule type="expression" dxfId="207" priority="46">
      <formula>IF($C$4="Approve EPDP Charter",IF($F$31/$D$31&gt;0.5,1,0),0)</formula>
    </cfRule>
    <cfRule type="expression" dxfId="206" priority="47">
      <formula>IF($C$4="Approve EPDP Recommendations",IF($F$31/$D$31&gt;0.5,1,0),0)</formula>
    </cfRule>
    <cfRule type="expression" dxfId="205" priority="48">
      <formula>IF($C$4="Approve EPDP Recommendations Imposing New Obligations on Certain Contracting Parties",IF($F$31/$D$31&gt;0.5,1,0),0)</formula>
    </cfRule>
    <cfRule type="expression" dxfId="204" priority="49">
      <formula>IF($C$4="Initiate GNSO Guidance Process (GGP)",IF($F$31/$D$31&gt;0.33,1,0),0)</formula>
    </cfRule>
    <cfRule type="expression" dxfId="203" priority="64">
      <formula>IF($C$4="Reject Initiation of GGP Requested by the ICANN Board",IF($F$31/$D$31&gt;0.5,1,0),0)</formula>
    </cfRule>
    <cfRule type="expression" dxfId="202" priority="66">
      <formula>IF($C$4="Approve GGP Recommendations",IF($F$31/$D$31&gt;0.5,1,0),0)</formula>
    </cfRule>
    <cfRule type="expression" dxfId="201" priority="68">
      <formula>IF($C$4="All Other (Default)",IF($F$31/$D$31&gt;0.5,1,0),0)</formula>
    </cfRule>
  </conditionalFormatting>
  <conditionalFormatting sqref="C32">
    <cfRule type="expression" dxfId="200" priority="1">
      <formula>IF($C$4="Create Issue Report",IF($F$32/$D$32&gt;0.25,1,0),0)</formula>
    </cfRule>
    <cfRule type="expression" dxfId="199" priority="2">
      <formula>IF($C$4="Initiate PDP Within Scope",IF($F$32/$D$32&gt;0.333,1,0),0)</formula>
    </cfRule>
    <cfRule type="expression" dxfId="198" priority="3">
      <formula>IF($C$4="Initiate PDP Not Within Scope",IF($F$32/$D$32&gt;0.5,1,0),0)</formula>
    </cfRule>
    <cfRule type="expression" dxfId="197" priority="4">
      <formula>IF($C$4="Approve PDP Team Charter for PDP Within Scope",IF($F$32/$D$32&gt;0.333,1,0),0)</formula>
    </cfRule>
    <cfRule type="expression" dxfId="196" priority="5">
      <formula>IF($C$4="Approve PDP Team Charter for PDP Not Within Scope",IF($F$32/$D$32&gt;0.5,1,0),0)</formula>
    </cfRule>
    <cfRule type="expression" dxfId="195" priority="6">
      <formula>IF($C$4="Amendment to an Approved PDP Team Charter",IF($F$32/$D$32&gt;0.5,1,0),0)</formula>
    </cfRule>
    <cfRule type="expression" dxfId="194" priority="7">
      <formula>IF($C$4="Terminate a PDP",IF($F$32/$D$32&gt;0.5,1,0),0)</formula>
    </cfRule>
    <cfRule type="expression" dxfId="193" priority="30">
      <formula>IF($C$4="Approve PDP Recommendation Without GNSO Super Majority",IF($F$32/$D$32&gt;0.5,1,0),0)</formula>
    </cfRule>
    <cfRule type="expression" dxfId="192" priority="34">
      <formula>IF($C$4="Approve PDP Recommendation With GNSO Super Majority",IF($F$32/$D$32&gt;0.5,1,0),0)</formula>
    </cfRule>
    <cfRule type="expression" dxfId="191" priority="35">
      <formula>IF($C$4="Approve PDP Recommendation Imposing New Obligations on Certain Contracting Parties",IF($F$32/$D$32&gt;0.5,1,0),0)</formula>
    </cfRule>
    <cfRule type="expression" dxfId="190" priority="36">
      <formula>IF($C$4="Modify or Amend an Approved PDP Recommendation",IF($F$32/$D$32&gt;0.5,1,0),0)</formula>
    </cfRule>
    <cfRule type="expression" dxfId="189" priority="37">
      <formula>IF($C$4="Initiate an Expedited PDP (EPDP)",IF($F$32/$D$32&gt;0.5,1,0),0)</formula>
    </cfRule>
    <cfRule type="expression" dxfId="188" priority="38">
      <formula>IF($C$4="Approve EPDP Charter",IF($F$32/$D$32&gt;0.5,1,0),0)</formula>
    </cfRule>
    <cfRule type="expression" dxfId="187" priority="39">
      <formula>IF($C$4="Approve EPDP Recommendations",IF($F$32/$D$32&gt;0.5,1,0),0)</formula>
    </cfRule>
    <cfRule type="expression" dxfId="186" priority="40">
      <formula>IF($C$4="Approve EPDP Recommendations Imposing New Obligations on Certain Contracting Parties",IF($F$32/$D$32&gt;0.5,1,0),0)</formula>
    </cfRule>
    <cfRule type="expression" dxfId="185" priority="41">
      <formula>IF($C$4="Initiate GNSO Guidance Process (GGP)",IF($F$32/$D$32&gt;0.33,1,0),0)</formula>
    </cfRule>
    <cfRule type="expression" dxfId="184" priority="63">
      <formula>IF($C$4="Reject Initiation of GGP Requested by the ICANN Board",IF($F$32/$D$32&gt;0.5,1,0),0)</formula>
    </cfRule>
    <cfRule type="expression" dxfId="183" priority="65">
      <formula>IF($C$4="Approve GGP Recommendations",IF($F$32/$D$32&gt;0.5,1,0),0)</formula>
    </cfRule>
    <cfRule type="expression" dxfId="182" priority="67">
      <formula>IF($C$4="All Other (Default)",IF($F$32/$D$32&gt;0.5,1,0),0)</formula>
    </cfRule>
  </conditionalFormatting>
  <conditionalFormatting sqref="C6:D6">
    <cfRule type="cellIs" dxfId="181" priority="28" operator="equal">
      <formula>"Fail"</formula>
    </cfRule>
    <cfRule type="cellIs" dxfId="180" priority="29" operator="equal">
      <formula>"Withdrawn"</formula>
    </cfRule>
    <cfRule type="cellIs" dxfId="179" priority="61" operator="equal">
      <formula>"Deferred"</formula>
    </cfRule>
    <cfRule type="cellIs" dxfId="178" priority="62" operator="equal">
      <formula>"Pass"</formula>
    </cfRule>
  </conditionalFormatting>
  <conditionalFormatting sqref="M4:M5">
    <cfRule type="expression" dxfId="177" priority="60">
      <formula>IF($C$4="Create Issue Report",1,0)</formula>
    </cfRule>
  </conditionalFormatting>
  <conditionalFormatting sqref="M6:M7">
    <cfRule type="expression" dxfId="176" priority="59">
      <formula>IF($C$4="Initiate PDP Within Scope",1,0)</formula>
    </cfRule>
  </conditionalFormatting>
  <conditionalFormatting sqref="M8:M9">
    <cfRule type="expression" dxfId="175" priority="58">
      <formula>IF($C$4="Initiate PDP Not Within Scope",1,0)</formula>
    </cfRule>
  </conditionalFormatting>
  <conditionalFormatting sqref="M10:M11">
    <cfRule type="expression" dxfId="174" priority="57">
      <formula>IF($C$4="Approve PDP Team Charter for PDP Within Scope",1,0)</formula>
    </cfRule>
  </conditionalFormatting>
  <conditionalFormatting sqref="M12:M13">
    <cfRule type="expression" dxfId="173" priority="56">
      <formula>IF($C$4="Approve PDP Team Charter for PDP Not Within Scope",1,0)</formula>
    </cfRule>
  </conditionalFormatting>
  <conditionalFormatting sqref="M14">
    <cfRule type="expression" dxfId="172" priority="55">
      <formula>IF($C$4="Amendment to an Approved PDP Team Charter",1,0)</formula>
    </cfRule>
  </conditionalFormatting>
  <conditionalFormatting sqref="M15:M16">
    <cfRule type="expression" dxfId="171" priority="54">
      <formula>IF($C$4="Terminate a PDP",1,0)</formula>
    </cfRule>
  </conditionalFormatting>
  <conditionalFormatting sqref="M17">
    <cfRule type="expression" dxfId="170" priority="53">
      <formula>IF($C$4="Approve PDP Recommendation Without GNSO Super Majority",1,0)</formula>
    </cfRule>
  </conditionalFormatting>
  <conditionalFormatting sqref="M18:M19">
    <cfRule type="expression" dxfId="169" priority="52">
      <formula>IF($C$4="Approve PDP Recommendation With GNSO Super Majority",1,0)</formula>
    </cfRule>
  </conditionalFormatting>
  <conditionalFormatting sqref="M20:M21">
    <cfRule type="expression" dxfId="168" priority="51">
      <formula>IF($C$4="Approve PDP Recommendation Imposing New Obligations on Certain Contracting Parties",1,0)</formula>
    </cfRule>
  </conditionalFormatting>
  <conditionalFormatting sqref="M22">
    <cfRule type="expression" dxfId="167" priority="50">
      <formula>IF($C$4="Modify or Amend an Approved PDP Recommendation",1,0)</formula>
    </cfRule>
  </conditionalFormatting>
  <conditionalFormatting sqref="M23">
    <cfRule type="expression" dxfId="166" priority="33">
      <formula>IF($C$4="Modify or Amend an Approved PDP Recommendation",1,0)</formula>
    </cfRule>
  </conditionalFormatting>
  <conditionalFormatting sqref="M38">
    <cfRule type="expression" dxfId="165" priority="32">
      <formula>IF($C$4="All Other (Default)",1,0)</formula>
    </cfRule>
  </conditionalFormatting>
  <conditionalFormatting sqref="M24">
    <cfRule type="expression" dxfId="164" priority="27">
      <formula>IF($C$4="Initiate an Expedited PDP (EPDP)",1,0)</formula>
    </cfRule>
  </conditionalFormatting>
  <conditionalFormatting sqref="M25">
    <cfRule type="expression" dxfId="163" priority="26">
      <formula>IF($C$4="Initiate an Expedited PDP (EPDP)",1,0)</formula>
    </cfRule>
  </conditionalFormatting>
  <conditionalFormatting sqref="M26">
    <cfRule type="expression" dxfId="162" priority="25">
      <formula>IF($C$4="Approve EPDP Charter",1,0)</formula>
    </cfRule>
  </conditionalFormatting>
  <conditionalFormatting sqref="M27">
    <cfRule type="expression" dxfId="161" priority="24">
      <formula>IF($C$4="Approve EPDP Charter",1,0)</formula>
    </cfRule>
  </conditionalFormatting>
  <conditionalFormatting sqref="M28">
    <cfRule type="expression" dxfId="160" priority="23">
      <formula>IF($C$4="Approve EPDP Recommendations",1,0)</formula>
    </cfRule>
  </conditionalFormatting>
  <conditionalFormatting sqref="M29">
    <cfRule type="expression" dxfId="159" priority="22">
      <formula>IF($C$4="Approve EPDP Recommendations",1,0)</formula>
    </cfRule>
  </conditionalFormatting>
  <conditionalFormatting sqref="M30">
    <cfRule type="expression" dxfId="158" priority="21">
      <formula>IF($C$4="Approve EPDP Recommendations Imposing New Obligations on Certain Contracting Parties",1,0)</formula>
    </cfRule>
  </conditionalFormatting>
  <conditionalFormatting sqref="M31">
    <cfRule type="expression" dxfId="157" priority="20">
      <formula>IF($C$4="Approve EPDP Recommendations Imposing New Obligations on Certain Contracting Parties",1,0)</formula>
    </cfRule>
  </conditionalFormatting>
  <conditionalFormatting sqref="M32:M33">
    <cfRule type="expression" dxfId="156" priority="19">
      <formula>IF($C$4="Initiate GNSO Guidance Process (GGP)",1,0)</formula>
    </cfRule>
  </conditionalFormatting>
  <conditionalFormatting sqref="M34">
    <cfRule type="expression" dxfId="155" priority="18">
      <formula>IF($C$4="Reject Initiation of GGP Requested by the ICANN Board",1,0)</formula>
    </cfRule>
  </conditionalFormatting>
  <conditionalFormatting sqref="M35">
    <cfRule type="expression" dxfId="154" priority="17">
      <formula>IF($C$4="Reject Initiation of GGP Requested by the ICANN Board",1,0)</formula>
    </cfRule>
  </conditionalFormatting>
  <conditionalFormatting sqref="M36">
    <cfRule type="expression" dxfId="153" priority="16">
      <formula>IF($C$4="Approve GGP Recommendations",1,0)</formula>
    </cfRule>
  </conditionalFormatting>
  <conditionalFormatting sqref="M37">
    <cfRule type="expression" dxfId="152" priority="15">
      <formula>IF($C$4="Approve GGP Recommendations",1,0)</formula>
    </cfRule>
  </conditionalFormatting>
  <dataValidations count="2">
    <dataValidation type="whole" allowBlank="1" showErrorMessage="1" errorTitle="Wrong Value" error="Must be 0, 1, or Blank" sqref="F9:I11">
      <formula1>0</formula1>
      <formula2>1</formula2>
    </dataValidation>
    <dataValidation type="whole" allowBlank="1" showInputMessage="1" showErrorMessage="1" errorTitle="Wrong Value" error="Must be 0, 1, or Blank" sqref="F12:I30">
      <formula1>0</formula1>
      <formula2>1</formula2>
    </dataValidation>
  </dataValidations>
  <pageMargins left="0.2" right="0.2" top="0.25" bottom="0.25" header="0.3" footer="0.3"/>
  <pageSetup scale="39" orientation="landscape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87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88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81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42656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FAIL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0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0.4386232091430774</v>
      </c>
      <c r="G63" s="5">
        <f t="shared" ref="G63:G82" ca="1" si="1">INDEX($E$63:$E$82,RANK(F63,$F$63:$F$82))</f>
        <v>14</v>
      </c>
      <c r="H63" s="13">
        <f ca="1">G63</f>
        <v>14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0.6173178923039716</v>
      </c>
      <c r="G64" s="5">
        <f t="shared" ca="1" si="1"/>
        <v>10</v>
      </c>
      <c r="H64" s="13">
        <f t="shared" ref="H64:H82" ca="1" si="2">G64</f>
        <v>10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0.94083884836826359</v>
      </c>
      <c r="G65" s="5">
        <f t="shared" ca="1" si="1"/>
        <v>1</v>
      </c>
      <c r="H65" s="13">
        <f t="shared" ca="1" si="2"/>
        <v>1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0.39844241471415953</v>
      </c>
      <c r="G66" s="5">
        <f t="shared" ca="1" si="1"/>
        <v>15</v>
      </c>
      <c r="H66" s="13">
        <f t="shared" ca="1" si="2"/>
        <v>15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0.34822329979125832</v>
      </c>
      <c r="G67" s="5">
        <f t="shared" ca="1" si="1"/>
        <v>17</v>
      </c>
      <c r="H67" s="13">
        <f t="shared" ca="1" si="2"/>
        <v>17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0.49968913924190905</v>
      </c>
      <c r="G68" s="5">
        <f t="shared" ca="1" si="1"/>
        <v>12</v>
      </c>
      <c r="H68" s="13">
        <f t="shared" ca="1" si="2"/>
        <v>12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0.32367100535238236</v>
      </c>
      <c r="G69" s="5">
        <f t="shared" ca="1" si="1"/>
        <v>18</v>
      </c>
      <c r="H69" s="13">
        <f t="shared" ca="1" si="2"/>
        <v>18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0.47950652483954037</v>
      </c>
      <c r="G70" s="5">
        <f t="shared" ca="1" si="1"/>
        <v>13</v>
      </c>
      <c r="H70" s="13">
        <f t="shared" ca="1" si="2"/>
        <v>13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0.92173622392962917</v>
      </c>
      <c r="G71" s="5">
        <f t="shared" ca="1" si="1"/>
        <v>2</v>
      </c>
      <c r="H71" s="13">
        <f t="shared" ca="1" si="2"/>
        <v>2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0.39807484435769047</v>
      </c>
      <c r="G72" s="5">
        <f t="shared" ca="1" si="1"/>
        <v>16</v>
      </c>
      <c r="H72" s="13">
        <f t="shared" ca="1" si="2"/>
        <v>16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0.72970332335303334</v>
      </c>
      <c r="G73" s="5">
        <f t="shared" ca="1" si="1"/>
        <v>7</v>
      </c>
      <c r="H73" s="13">
        <f t="shared" ca="1" si="2"/>
        <v>7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0.66215620553614885</v>
      </c>
      <c r="G74" s="5">
        <f t="shared" ca="1" si="1"/>
        <v>9</v>
      </c>
      <c r="H74" s="13">
        <f t="shared" ca="1" si="2"/>
        <v>9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0.83241201148155453</v>
      </c>
      <c r="G75" s="5">
        <f t="shared" ca="1" si="1"/>
        <v>4</v>
      </c>
      <c r="H75" s="13">
        <f t="shared" ca="1" si="2"/>
        <v>4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0.77729309519771084</v>
      </c>
      <c r="G76" s="5">
        <f t="shared" ca="1" si="1"/>
        <v>6</v>
      </c>
      <c r="H76" s="13">
        <f t="shared" ca="1" si="2"/>
        <v>6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6.9103907558270783E-2</v>
      </c>
      <c r="G77" s="5">
        <f t="shared" ca="1" si="1"/>
        <v>20</v>
      </c>
      <c r="H77" s="13">
        <f t="shared" ca="1" si="2"/>
        <v>20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0.83707673518728987</v>
      </c>
      <c r="G78" s="5">
        <f t="shared" ca="1" si="1"/>
        <v>3</v>
      </c>
      <c r="H78" s="13">
        <f t="shared" ca="1" si="2"/>
        <v>3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0.1450007205036008</v>
      </c>
      <c r="G79" s="5">
        <f t="shared" ca="1" si="1"/>
        <v>19</v>
      </c>
      <c r="H79" s="13">
        <f t="shared" ca="1" si="2"/>
        <v>19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0.58704828939023601</v>
      </c>
      <c r="G80" s="5">
        <f t="shared" ca="1" si="1"/>
        <v>11</v>
      </c>
      <c r="H80" s="13">
        <f t="shared" ca="1" si="2"/>
        <v>11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0.6693281534432266</v>
      </c>
      <c r="G81" s="5">
        <f t="shared" ca="1" si="1"/>
        <v>8</v>
      </c>
      <c r="H81" s="13">
        <f t="shared" ca="1" si="2"/>
        <v>8</v>
      </c>
    </row>
    <row r="82" spans="2:8" s="1" customFormat="1" ht="15.75" hidden="1">
      <c r="C82" s="2"/>
      <c r="D82" s="2"/>
      <c r="E82" s="5">
        <v>20</v>
      </c>
      <c r="F82" s="5">
        <f t="shared" ca="1" si="0"/>
        <v>0.82446726477570109</v>
      </c>
      <c r="G82" s="5">
        <f t="shared" ca="1" si="1"/>
        <v>5</v>
      </c>
      <c r="H82" s="13">
        <f t="shared" ca="1" si="2"/>
        <v>5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151" priority="75" stopIfTrue="1">
      <formula>SUM(F9:I9)=0</formula>
    </cfRule>
    <cfRule type="expression" dxfId="150" priority="76" stopIfTrue="1">
      <formula>SUM(F9:I9)&gt;1</formula>
    </cfRule>
  </conditionalFormatting>
  <conditionalFormatting sqref="D31">
    <cfRule type="cellIs" dxfId="149" priority="73" stopIfTrue="1" operator="equal">
      <formula>7</formula>
    </cfRule>
    <cfRule type="cellIs" dxfId="148" priority="74" stopIfTrue="1" operator="lessThan">
      <formula>7</formula>
    </cfRule>
  </conditionalFormatting>
  <conditionalFormatting sqref="D32">
    <cfRule type="cellIs" dxfId="147" priority="71" stopIfTrue="1" operator="equal">
      <formula>13</formula>
    </cfRule>
    <cfRule type="cellIs" dxfId="146" priority="72" stopIfTrue="1" operator="lessThan">
      <formula>13</formula>
    </cfRule>
  </conditionalFormatting>
  <conditionalFormatting sqref="B10:B28">
    <cfRule type="expression" dxfId="145" priority="69" stopIfTrue="1">
      <formula>SUM(F10:I10)=0</formula>
    </cfRule>
    <cfRule type="expression" dxfId="144" priority="70" stopIfTrue="1">
      <formula>SUM(F10:I10)&gt;1</formula>
    </cfRule>
  </conditionalFormatting>
  <conditionalFormatting sqref="C31">
    <cfRule type="expression" dxfId="143" priority="8">
      <formula>IF($C$4="Create Issue Report",IF($F$31/$D$31&gt;0.25,1,0),0)</formula>
    </cfRule>
    <cfRule type="expression" dxfId="142" priority="9">
      <formula>IF($C$4="Initiate PDP Within Scope",IF($F$31/$D$31&gt;0.333,1,0),0)</formula>
    </cfRule>
    <cfRule type="expression" dxfId="141" priority="10">
      <formula>IF($C$4="Initiate PDP Not Within Scope",IF($F$31/$D$31&gt;0.5,1,0),0)</formula>
    </cfRule>
    <cfRule type="expression" dxfId="140" priority="11">
      <formula>IF($C$4="Approve PDP Team Charter for PDP Within Scope",IF($F$31/$D$31&gt;0.333,1,0),0)</formula>
    </cfRule>
    <cfRule type="expression" dxfId="139" priority="12">
      <formula>IF($C$4="Approve PDP Team Charter for PDP Not Within Scope",IF($F$31/$D$31&gt;0.5,1,0),0)</formula>
    </cfRule>
    <cfRule type="expression" dxfId="138" priority="13">
      <formula>IF($C$4="Amendment to an Approved PDP Team Charter",IF($F$31/$D$31&gt;0.5,1,0),0)</formula>
    </cfRule>
    <cfRule type="expression" dxfId="137" priority="14">
      <formula>IF($C$4="Terminate a PDP",IF($F$31/$D$31&gt;0.5,1,0),0)</formula>
    </cfRule>
    <cfRule type="expression" dxfId="136" priority="31">
      <formula>IF($C$4="Approve PDP Recommendation Without GNSO Super Majority",IF($F$31/$D$31&gt;0.5,1,0),0)</formula>
    </cfRule>
    <cfRule type="expression" dxfId="135" priority="42">
      <formula>IF($C$4="Approve PDP Recommendation With GNSO Super Majority",IF($F$31/$D$31&gt;0.5,1,0),0)</formula>
    </cfRule>
    <cfRule type="expression" dxfId="134" priority="43">
      <formula>IF($C$4="Approve PDP Recommendation Imposing New Obligations on Certain Contracting Parties",IF($F$31/$D$31&gt;0.5,1,0),0)</formula>
    </cfRule>
    <cfRule type="expression" dxfId="133" priority="44">
      <formula>IF($C$4="Modify or Amend an Approved PDP Recommendation",IF($F$31/$D$31&gt;0.5,1,0),0)</formula>
    </cfRule>
    <cfRule type="expression" dxfId="132" priority="45">
      <formula>IF($C$4="Initiate an Expedited PDP (EPDP)",IF($F$31/$D$31&gt;0.5,1,0),0)</formula>
    </cfRule>
    <cfRule type="expression" dxfId="131" priority="46">
      <formula>IF($C$4="Approve EPDP Charter",IF($F$31/$D$31&gt;0.5,1,0),0)</formula>
    </cfRule>
    <cfRule type="expression" dxfId="130" priority="47">
      <formula>IF($C$4="Approve EPDP Recommendations",IF($F$31/$D$31&gt;0.5,1,0),0)</formula>
    </cfRule>
    <cfRule type="expression" dxfId="129" priority="48">
      <formula>IF($C$4="Approve EPDP Recommendations Imposing New Obligations on Certain Contracting Parties",IF($F$31/$D$31&gt;0.5,1,0),0)</formula>
    </cfRule>
    <cfRule type="expression" dxfId="128" priority="49">
      <formula>IF($C$4="Initiate GNSO Guidance Process (GGP)",IF($F$31/$D$31&gt;0.33,1,0),0)</formula>
    </cfRule>
    <cfRule type="expression" dxfId="127" priority="64">
      <formula>IF($C$4="Reject Initiation of GGP Requested by the ICANN Board",IF($F$31/$D$31&gt;0.5,1,0),0)</formula>
    </cfRule>
    <cfRule type="expression" dxfId="126" priority="66">
      <formula>IF($C$4="Approve GGP Recommendations",IF($F$31/$D$31&gt;0.5,1,0),0)</formula>
    </cfRule>
    <cfRule type="expression" dxfId="125" priority="68">
      <formula>IF($C$4="All Other (Default)",IF($F$31/$D$31&gt;0.5,1,0),0)</formula>
    </cfRule>
  </conditionalFormatting>
  <conditionalFormatting sqref="C32">
    <cfRule type="expression" dxfId="124" priority="1">
      <formula>IF($C$4="Create Issue Report",IF($F$32/$D$32&gt;0.25,1,0),0)</formula>
    </cfRule>
    <cfRule type="expression" dxfId="123" priority="2">
      <formula>IF($C$4="Initiate PDP Within Scope",IF($F$32/$D$32&gt;0.333,1,0),0)</formula>
    </cfRule>
    <cfRule type="expression" dxfId="122" priority="3">
      <formula>IF($C$4="Initiate PDP Not Within Scope",IF($F$32/$D$32&gt;0.5,1,0),0)</formula>
    </cfRule>
    <cfRule type="expression" dxfId="121" priority="4">
      <formula>IF($C$4="Approve PDP Team Charter for PDP Within Scope",IF($F$32/$D$32&gt;0.333,1,0),0)</formula>
    </cfRule>
    <cfRule type="expression" dxfId="120" priority="5">
      <formula>IF($C$4="Approve PDP Team Charter for PDP Not Within Scope",IF($F$32/$D$32&gt;0.5,1,0),0)</formula>
    </cfRule>
    <cfRule type="expression" dxfId="119" priority="6">
      <formula>IF($C$4="Amendment to an Approved PDP Team Charter",IF($F$32/$D$32&gt;0.5,1,0),0)</formula>
    </cfRule>
    <cfRule type="expression" dxfId="118" priority="7">
      <formula>IF($C$4="Terminate a PDP",IF($F$32/$D$32&gt;0.5,1,0),0)</formula>
    </cfRule>
    <cfRule type="expression" dxfId="117" priority="30">
      <formula>IF($C$4="Approve PDP Recommendation Without GNSO Super Majority",IF($F$32/$D$32&gt;0.5,1,0),0)</formula>
    </cfRule>
    <cfRule type="expression" dxfId="116" priority="34">
      <formula>IF($C$4="Approve PDP Recommendation With GNSO Super Majority",IF($F$32/$D$32&gt;0.5,1,0),0)</formula>
    </cfRule>
    <cfRule type="expression" dxfId="115" priority="35">
      <formula>IF($C$4="Approve PDP Recommendation Imposing New Obligations on Certain Contracting Parties",IF($F$32/$D$32&gt;0.5,1,0),0)</formula>
    </cfRule>
    <cfRule type="expression" dxfId="114" priority="36">
      <formula>IF($C$4="Modify or Amend an Approved PDP Recommendation",IF($F$32/$D$32&gt;0.5,1,0),0)</formula>
    </cfRule>
    <cfRule type="expression" dxfId="113" priority="37">
      <formula>IF($C$4="Initiate an Expedited PDP (EPDP)",IF($F$32/$D$32&gt;0.5,1,0),0)</formula>
    </cfRule>
    <cfRule type="expression" dxfId="112" priority="38">
      <formula>IF($C$4="Approve EPDP Charter",IF($F$32/$D$32&gt;0.5,1,0),0)</formula>
    </cfRule>
    <cfRule type="expression" dxfId="111" priority="39">
      <formula>IF($C$4="Approve EPDP Recommendations",IF($F$32/$D$32&gt;0.5,1,0),0)</formula>
    </cfRule>
    <cfRule type="expression" dxfId="110" priority="40">
      <formula>IF($C$4="Approve EPDP Recommendations Imposing New Obligations on Certain Contracting Parties",IF($F$32/$D$32&gt;0.5,1,0),0)</formula>
    </cfRule>
    <cfRule type="expression" dxfId="109" priority="41">
      <formula>IF($C$4="Initiate GNSO Guidance Process (GGP)",IF($F$32/$D$32&gt;0.33,1,0),0)</formula>
    </cfRule>
    <cfRule type="expression" dxfId="108" priority="63">
      <formula>IF($C$4="Reject Initiation of GGP Requested by the ICANN Board",IF($F$32/$D$32&gt;0.5,1,0),0)</formula>
    </cfRule>
    <cfRule type="expression" dxfId="107" priority="65">
      <formula>IF($C$4="Approve GGP Recommendations",IF($F$32/$D$32&gt;0.5,1,0),0)</formula>
    </cfRule>
    <cfRule type="expression" dxfId="106" priority="67">
      <formula>IF($C$4="All Other (Default)",IF($F$32/$D$32&gt;0.5,1,0),0)</formula>
    </cfRule>
  </conditionalFormatting>
  <conditionalFormatting sqref="C6:D6">
    <cfRule type="cellIs" dxfId="105" priority="28" operator="equal">
      <formula>"Fail"</formula>
    </cfRule>
    <cfRule type="cellIs" dxfId="104" priority="29" operator="equal">
      <formula>"Withdrawn"</formula>
    </cfRule>
    <cfRule type="cellIs" dxfId="103" priority="61" operator="equal">
      <formula>"Deferred"</formula>
    </cfRule>
    <cfRule type="cellIs" dxfId="102" priority="62" operator="equal">
      <formula>"Pass"</formula>
    </cfRule>
  </conditionalFormatting>
  <conditionalFormatting sqref="M4:M5">
    <cfRule type="expression" dxfId="101" priority="60">
      <formula>IF($C$4="Create Issue Report",1,0)</formula>
    </cfRule>
  </conditionalFormatting>
  <conditionalFormatting sqref="M6:M7">
    <cfRule type="expression" dxfId="100" priority="59">
      <formula>IF($C$4="Initiate PDP Within Scope",1,0)</formula>
    </cfRule>
  </conditionalFormatting>
  <conditionalFormatting sqref="M8:M9">
    <cfRule type="expression" dxfId="99" priority="58">
      <formula>IF($C$4="Initiate PDP Not Within Scope",1,0)</formula>
    </cfRule>
  </conditionalFormatting>
  <conditionalFormatting sqref="M10:M11">
    <cfRule type="expression" dxfId="98" priority="57">
      <formula>IF($C$4="Approve PDP Team Charter for PDP Within Scope",1,0)</formula>
    </cfRule>
  </conditionalFormatting>
  <conditionalFormatting sqref="M12:M13">
    <cfRule type="expression" dxfId="97" priority="56">
      <formula>IF($C$4="Approve PDP Team Charter for PDP Not Within Scope",1,0)</formula>
    </cfRule>
  </conditionalFormatting>
  <conditionalFormatting sqref="M14">
    <cfRule type="expression" dxfId="96" priority="55">
      <formula>IF($C$4="Amendment to an Approved PDP Team Charter",1,0)</formula>
    </cfRule>
  </conditionalFormatting>
  <conditionalFormatting sqref="M15:M16">
    <cfRule type="expression" dxfId="95" priority="54">
      <formula>IF($C$4="Terminate a PDP",1,0)</formula>
    </cfRule>
  </conditionalFormatting>
  <conditionalFormatting sqref="M17">
    <cfRule type="expression" dxfId="94" priority="53">
      <formula>IF($C$4="Approve PDP Recommendation Without GNSO Super Majority",1,0)</formula>
    </cfRule>
  </conditionalFormatting>
  <conditionalFormatting sqref="M18:M19">
    <cfRule type="expression" dxfId="93" priority="52">
      <formula>IF($C$4="Approve PDP Recommendation With GNSO Super Majority",1,0)</formula>
    </cfRule>
  </conditionalFormatting>
  <conditionalFormatting sqref="M20:M21">
    <cfRule type="expression" dxfId="92" priority="51">
      <formula>IF($C$4="Approve PDP Recommendation Imposing New Obligations on Certain Contracting Parties",1,0)</formula>
    </cfRule>
  </conditionalFormatting>
  <conditionalFormatting sqref="M22">
    <cfRule type="expression" dxfId="91" priority="50">
      <formula>IF($C$4="Modify or Amend an Approved PDP Recommendation",1,0)</formula>
    </cfRule>
  </conditionalFormatting>
  <conditionalFormatting sqref="M23">
    <cfRule type="expression" dxfId="90" priority="33">
      <formula>IF($C$4="Modify or Amend an Approved PDP Recommendation",1,0)</formula>
    </cfRule>
  </conditionalFormatting>
  <conditionalFormatting sqref="M38">
    <cfRule type="expression" dxfId="89" priority="32">
      <formula>IF($C$4="All Other (Default)",1,0)</formula>
    </cfRule>
  </conditionalFormatting>
  <conditionalFormatting sqref="M24">
    <cfRule type="expression" dxfId="88" priority="27">
      <formula>IF($C$4="Initiate an Expedited PDP (EPDP)",1,0)</formula>
    </cfRule>
  </conditionalFormatting>
  <conditionalFormatting sqref="M25">
    <cfRule type="expression" dxfId="87" priority="26">
      <formula>IF($C$4="Initiate an Expedited PDP (EPDP)",1,0)</formula>
    </cfRule>
  </conditionalFormatting>
  <conditionalFormatting sqref="M26">
    <cfRule type="expression" dxfId="86" priority="25">
      <formula>IF($C$4="Approve EPDP Charter",1,0)</formula>
    </cfRule>
  </conditionalFormatting>
  <conditionalFormatting sqref="M27">
    <cfRule type="expression" dxfId="85" priority="24">
      <formula>IF($C$4="Approve EPDP Charter",1,0)</formula>
    </cfRule>
  </conditionalFormatting>
  <conditionalFormatting sqref="M28">
    <cfRule type="expression" dxfId="84" priority="23">
      <formula>IF($C$4="Approve EPDP Recommendations",1,0)</formula>
    </cfRule>
  </conditionalFormatting>
  <conditionalFormatting sqref="M29">
    <cfRule type="expression" dxfId="83" priority="22">
      <formula>IF($C$4="Approve EPDP Recommendations",1,0)</formula>
    </cfRule>
  </conditionalFormatting>
  <conditionalFormatting sqref="M30">
    <cfRule type="expression" dxfId="82" priority="21">
      <formula>IF($C$4="Approve EPDP Recommendations Imposing New Obligations on Certain Contracting Parties",1,0)</formula>
    </cfRule>
  </conditionalFormatting>
  <conditionalFormatting sqref="M31">
    <cfRule type="expression" dxfId="81" priority="20">
      <formula>IF($C$4="Approve EPDP Recommendations Imposing New Obligations on Certain Contracting Parties",1,0)</formula>
    </cfRule>
  </conditionalFormatting>
  <conditionalFormatting sqref="M32:M33">
    <cfRule type="expression" dxfId="80" priority="19">
      <formula>IF($C$4="Initiate GNSO Guidance Process (GGP)",1,0)</formula>
    </cfRule>
  </conditionalFormatting>
  <conditionalFormatting sqref="M34">
    <cfRule type="expression" dxfId="79" priority="18">
      <formula>IF($C$4="Reject Initiation of GGP Requested by the ICANN Board",1,0)</formula>
    </cfRule>
  </conditionalFormatting>
  <conditionalFormatting sqref="M35">
    <cfRule type="expression" dxfId="78" priority="17">
      <formula>IF($C$4="Reject Initiation of GGP Requested by the ICANN Board",1,0)</formula>
    </cfRule>
  </conditionalFormatting>
  <conditionalFormatting sqref="M36">
    <cfRule type="expression" dxfId="77" priority="16">
      <formula>IF($C$4="Approve GGP Recommendations",1,0)</formula>
    </cfRule>
  </conditionalFormatting>
  <conditionalFormatting sqref="M37">
    <cfRule type="expression" dxfId="76" priority="15">
      <formula>IF($C$4="Approve GGP Recommendations",1,0)</formula>
    </cfRule>
  </conditionalFormatting>
  <dataValidations count="2">
    <dataValidation type="whole" allowBlank="1" showErrorMessage="1" errorTitle="Wrong Value" error="Must be 0, 1, or Blank" sqref="F9:I11">
      <formula1>0</formula1>
      <formula2>1</formula2>
    </dataValidation>
    <dataValidation type="whole" allowBlank="1" showInputMessage="1" showErrorMessage="1" errorTitle="Wrong Value" error="Must be 0, 1, or Blank" sqref="F12:I30">
      <formula1>0</formula1>
      <formula2>1</formula2>
    </dataValidation>
  </dataValidations>
  <pageMargins left="0.2" right="0.2" top="0.25" bottom="0.25" header="0.3" footer="0.3"/>
  <pageSetup scale="39" orientation="landscape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S95"/>
  <sheetViews>
    <sheetView showGridLines="0" zoomScale="80" zoomScaleNormal="80" workbookViewId="0">
      <selection activeCell="C2" sqref="C2:K2"/>
    </sheetView>
  </sheetViews>
  <sheetFormatPr defaultRowHeight="15"/>
  <cols>
    <col min="1" max="1" width="6.42578125" style="1" customWidth="1"/>
    <col min="2" max="2" width="37.28515625" style="1" customWidth="1"/>
    <col min="3" max="4" width="13.85546875" style="2" customWidth="1"/>
    <col min="5" max="5" width="13.7109375" style="4" customWidth="1"/>
    <col min="6" max="9" width="13.7109375" style="2" customWidth="1"/>
    <col min="10" max="10" width="1.7109375" style="2" customWidth="1"/>
    <col min="11" max="11" width="70.85546875" style="1" customWidth="1"/>
    <col min="12" max="12" width="5.5703125" style="77" customWidth="1"/>
    <col min="13" max="13" width="123.5703125" style="1" customWidth="1"/>
    <col min="14" max="15" width="9.140625" style="1" hidden="1" customWidth="1"/>
    <col min="16" max="16" width="9.140625" style="1" customWidth="1"/>
    <col min="17" max="16384" width="9.140625" style="1"/>
  </cols>
  <sheetData>
    <row r="1" spans="1:19" ht="14.25" customHeight="1"/>
    <row r="2" spans="1:19" s="22" customFormat="1" ht="25.5" customHeight="1">
      <c r="B2" s="45" t="s">
        <v>47</v>
      </c>
      <c r="C2" s="89" t="s">
        <v>87</v>
      </c>
      <c r="D2" s="90"/>
      <c r="E2" s="90"/>
      <c r="F2" s="90"/>
      <c r="G2" s="90"/>
      <c r="H2" s="90"/>
      <c r="I2" s="90"/>
      <c r="J2" s="90"/>
      <c r="K2" s="90"/>
      <c r="L2" s="78"/>
      <c r="M2" s="83"/>
      <c r="N2" s="83"/>
      <c r="O2" s="83"/>
      <c r="P2" s="83"/>
      <c r="Q2" s="83"/>
      <c r="R2" s="83"/>
      <c r="S2" s="83"/>
    </row>
    <row r="3" spans="1:19" s="22" customFormat="1" ht="25.5" customHeight="1">
      <c r="B3" s="45" t="s">
        <v>80</v>
      </c>
      <c r="C3" s="89" t="s">
        <v>88</v>
      </c>
      <c r="D3" s="90"/>
      <c r="E3" s="90"/>
      <c r="F3" s="90"/>
      <c r="G3" s="90"/>
      <c r="H3" s="90"/>
      <c r="I3" s="90"/>
      <c r="J3" s="90"/>
      <c r="K3" s="90"/>
      <c r="L3" s="78"/>
      <c r="M3" s="75" t="s">
        <v>103</v>
      </c>
      <c r="N3" s="63" t="s">
        <v>58</v>
      </c>
      <c r="O3" s="63" t="s">
        <v>8</v>
      </c>
      <c r="P3" s="25"/>
      <c r="Q3" s="25"/>
    </row>
    <row r="4" spans="1:19" s="22" customFormat="1" ht="25.5" customHeight="1">
      <c r="B4" s="45" t="s">
        <v>48</v>
      </c>
      <c r="C4" s="89" t="s">
        <v>81</v>
      </c>
      <c r="D4" s="90"/>
      <c r="E4" s="90"/>
      <c r="F4" s="90"/>
      <c r="G4" s="90"/>
      <c r="H4" s="90"/>
      <c r="I4" s="90"/>
      <c r="J4" s="82"/>
      <c r="K4" s="82"/>
      <c r="L4" s="79">
        <v>1</v>
      </c>
      <c r="M4" s="64" t="s">
        <v>60</v>
      </c>
      <c r="N4" s="65">
        <f>IF($C$4="Create Issue Report",IF($F$31/$D$31&gt;0.25,IF($F$32/$D$32&gt;0.25,1,0)),0)</f>
        <v>0</v>
      </c>
      <c r="O4" s="66">
        <f>COUNTIF(N4:N38,1)</f>
        <v>0</v>
      </c>
      <c r="P4" s="25"/>
      <c r="Q4" s="25"/>
    </row>
    <row r="5" spans="1:19" s="3" customFormat="1" ht="25.5" customHeight="1">
      <c r="B5" s="45" t="s">
        <v>79</v>
      </c>
      <c r="C5" s="92">
        <f>Title!C17</f>
        <v>42656</v>
      </c>
      <c r="D5" s="93"/>
      <c r="E5" s="49"/>
      <c r="F5" s="49"/>
      <c r="G5" s="49"/>
      <c r="H5" s="49"/>
      <c r="I5" s="49"/>
      <c r="J5" s="82"/>
      <c r="L5" s="80">
        <v>1</v>
      </c>
      <c r="M5" s="64" t="s">
        <v>59</v>
      </c>
      <c r="N5" s="65">
        <f>IF($C$4="Create Issue Report",IF($F$31/$D$31&gt;0.5,1,IF($F$32/$D$32&gt;0.5,1,0)),0)</f>
        <v>0</v>
      </c>
      <c r="O5" s="50"/>
      <c r="P5" s="25"/>
      <c r="Q5" s="25"/>
    </row>
    <row r="6" spans="1:19" s="3" customFormat="1" ht="25.5" customHeight="1" thickBot="1">
      <c r="B6" s="45" t="s">
        <v>89</v>
      </c>
      <c r="C6" s="97" t="str">
        <f>IF(D31+D32&lt;20,"FAIL",IF(O4&gt;=1,"PASS","FAIL"))</f>
        <v>FAIL</v>
      </c>
      <c r="D6" s="98"/>
      <c r="E6" s="49"/>
      <c r="F6" s="49"/>
      <c r="G6" s="48"/>
      <c r="H6" s="48"/>
      <c r="I6" s="48"/>
      <c r="J6" s="82"/>
      <c r="L6" s="80">
        <v>2</v>
      </c>
      <c r="M6" s="64" t="s">
        <v>61</v>
      </c>
      <c r="N6" s="65">
        <f>IF($C$4="Initiate PDP Within Scope",IF($F$31/$D$31&gt;0.666,1,IF($F$32/$D$32&gt;0.666,1,0)),0)</f>
        <v>0</v>
      </c>
      <c r="O6" s="50"/>
      <c r="P6" s="25"/>
      <c r="Q6" s="25"/>
    </row>
    <row r="7" spans="1:19" s="3" customFormat="1" ht="25.5" customHeight="1" thickTop="1" thickBot="1">
      <c r="C7" s="7"/>
      <c r="D7" s="7"/>
      <c r="E7" s="11"/>
      <c r="F7" s="94" t="s">
        <v>4</v>
      </c>
      <c r="G7" s="95"/>
      <c r="H7" s="95"/>
      <c r="I7" s="96"/>
      <c r="J7" s="29"/>
      <c r="L7" s="80">
        <v>2</v>
      </c>
      <c r="M7" s="64" t="s">
        <v>62</v>
      </c>
      <c r="N7" s="65">
        <f>IF($C$4="Initiate PDP Within Scope",IF($F$31/$D$31&gt;0.333,IF($F$32/$D$32&gt;0.333,1,0)),0)</f>
        <v>0</v>
      </c>
      <c r="O7" s="50"/>
      <c r="P7" s="25"/>
      <c r="Q7" s="25"/>
    </row>
    <row r="8" spans="1:19" s="9" customFormat="1" ht="25.5" customHeight="1" thickTop="1">
      <c r="A8" s="39"/>
      <c r="B8" s="43" t="s">
        <v>15</v>
      </c>
      <c r="C8" s="39" t="s">
        <v>33</v>
      </c>
      <c r="D8" s="39" t="s">
        <v>41</v>
      </c>
      <c r="E8" s="40" t="s">
        <v>5</v>
      </c>
      <c r="F8" s="41" t="s">
        <v>42</v>
      </c>
      <c r="G8" s="39" t="s">
        <v>43</v>
      </c>
      <c r="H8" s="39" t="s">
        <v>44</v>
      </c>
      <c r="I8" s="42" t="s">
        <v>45</v>
      </c>
      <c r="J8" s="29"/>
      <c r="K8" s="43" t="s">
        <v>46</v>
      </c>
      <c r="L8" s="80">
        <v>3</v>
      </c>
      <c r="M8" s="64" t="s">
        <v>63</v>
      </c>
      <c r="N8" s="67">
        <f>IF($C$4="Initiate PDP Not Within Scope",IF(AND($F$31/$D$31&gt;=0.666)*($F$32/$D$32&gt;=0.666),1,0),0)</f>
        <v>0</v>
      </c>
      <c r="O8" s="50"/>
      <c r="P8" s="25"/>
      <c r="Q8" s="25"/>
    </row>
    <row r="9" spans="1:19" s="25" customFormat="1" ht="25.5" customHeight="1">
      <c r="A9" s="73"/>
      <c r="B9" s="50" t="str">
        <f>council_members!C5</f>
        <v xml:space="preserve">Hsu Phen Valerie Tan </v>
      </c>
      <c r="C9" s="37" t="str">
        <f>council_members!D5</f>
        <v>CPH</v>
      </c>
      <c r="D9" s="37" t="str">
        <f>council_members!E5</f>
        <v>NCA</v>
      </c>
      <c r="E9" s="86">
        <v>1</v>
      </c>
      <c r="F9" s="26"/>
      <c r="G9" s="27"/>
      <c r="H9" s="27"/>
      <c r="I9" s="28"/>
      <c r="J9" s="29"/>
      <c r="K9" s="72"/>
      <c r="L9" s="81">
        <v>3</v>
      </c>
      <c r="M9" s="64" t="s">
        <v>64</v>
      </c>
      <c r="N9" s="67">
        <f>IF($C$4="Initiate PDP Not Within Scope",IF(OR((AND($F$31/$D$31&gt;=0.75)*($F$32/$D$32&gt;=0.5))+(AND($F$32/$D$32&gt;=0.75)*($F$31/$D$31&gt;=0.5))),1,0),0)</f>
        <v>0</v>
      </c>
      <c r="O9" s="50"/>
    </row>
    <row r="10" spans="1:19" s="25" customFormat="1" ht="25.5" customHeight="1">
      <c r="A10" s="73"/>
      <c r="B10" s="50" t="str">
        <f>council_members!C6</f>
        <v xml:space="preserve">James Bladel </v>
      </c>
      <c r="C10" s="37" t="str">
        <f>council_members!D6</f>
        <v>CPH</v>
      </c>
      <c r="D10" s="37" t="str">
        <f>council_members!E6</f>
        <v>RrSG</v>
      </c>
      <c r="E10" s="86">
        <v>2</v>
      </c>
      <c r="F10" s="26"/>
      <c r="G10" s="27"/>
      <c r="H10" s="27"/>
      <c r="I10" s="28"/>
      <c r="J10" s="29"/>
      <c r="K10" s="72"/>
      <c r="L10" s="81">
        <v>4</v>
      </c>
      <c r="M10" s="64" t="s">
        <v>65</v>
      </c>
      <c r="N10" s="67">
        <f>IF($C$4="Approve PDP Team Charter for PDP Within Scope",IF($F$31/$D$31&gt;0.666,1,IF($F$32/$D$32&gt;0.666,1,0)),0)</f>
        <v>0</v>
      </c>
      <c r="O10" s="50"/>
    </row>
    <row r="11" spans="1:19" s="25" customFormat="1" ht="25.5" customHeight="1">
      <c r="A11" s="73"/>
      <c r="B11" s="50" t="str">
        <f>council_members!C7</f>
        <v>Volker Greimann</v>
      </c>
      <c r="C11" s="37" t="str">
        <f>council_members!D7</f>
        <v>CPH</v>
      </c>
      <c r="D11" s="37" t="str">
        <f>council_members!E7</f>
        <v>RrSG</v>
      </c>
      <c r="E11" s="86">
        <v>3</v>
      </c>
      <c r="F11" s="30"/>
      <c r="G11" s="31"/>
      <c r="H11" s="31"/>
      <c r="I11" s="28"/>
      <c r="J11" s="29"/>
      <c r="K11" s="72"/>
      <c r="L11" s="81">
        <v>4</v>
      </c>
      <c r="M11" s="64" t="s">
        <v>66</v>
      </c>
      <c r="N11" s="67">
        <f>IF($C$4="Approve PDP Team Charter for PDP Within Scope",IF($F$31/$D$31&gt;0.333,IF($F$32/$D$32&gt;0.333,1,0)),0)</f>
        <v>0</v>
      </c>
      <c r="O11" s="50"/>
    </row>
    <row r="12" spans="1:19" s="25" customFormat="1" ht="25.5" customHeight="1">
      <c r="A12" s="73"/>
      <c r="B12" s="50" t="str">
        <f>council_members!C8</f>
        <v>Darcy Southwell</v>
      </c>
      <c r="C12" s="37" t="str">
        <f>council_members!D8</f>
        <v>CPH</v>
      </c>
      <c r="D12" s="37" t="str">
        <f>council_members!E8</f>
        <v>RrSG</v>
      </c>
      <c r="E12" s="86">
        <v>4</v>
      </c>
      <c r="F12" s="30"/>
      <c r="G12" s="31"/>
      <c r="H12" s="31"/>
      <c r="I12" s="28"/>
      <c r="J12" s="29"/>
      <c r="K12" s="72"/>
      <c r="L12" s="81">
        <v>5</v>
      </c>
      <c r="M12" s="64" t="s">
        <v>68</v>
      </c>
      <c r="N12" s="67">
        <f>IF($C$4="Approve PDP Team Charter for PDP Not Within Scope",IF(AND($F$31/$D$31&gt;=0.666)*($F$32/$D$32&gt;=0.666),1,0),0)</f>
        <v>0</v>
      </c>
      <c r="O12" s="50"/>
    </row>
    <row r="13" spans="1:19" s="25" customFormat="1" ht="25.5" customHeight="1">
      <c r="A13" s="73"/>
      <c r="B13" s="50" t="str">
        <f>council_members!C9</f>
        <v>Donna Austin</v>
      </c>
      <c r="C13" s="37" t="str">
        <f>council_members!D9</f>
        <v>CPH</v>
      </c>
      <c r="D13" s="37" t="str">
        <f>council_members!E9</f>
        <v>RySG</v>
      </c>
      <c r="E13" s="86">
        <v>5</v>
      </c>
      <c r="F13" s="26"/>
      <c r="G13" s="27"/>
      <c r="H13" s="27"/>
      <c r="I13" s="28"/>
      <c r="J13" s="29"/>
      <c r="K13" s="72"/>
      <c r="L13" s="81">
        <v>5</v>
      </c>
      <c r="M13" s="64" t="s">
        <v>67</v>
      </c>
      <c r="N13" s="67">
        <f>IF($C$4="Approve PDP Team Charter for PDP Not Within Scope",IF(OR((AND($F$31/$D$31&gt;=0.75)*($F$32/$D$32&gt;=0.5))+(AND($F$32/$D$32&gt;=0.75)*($F$31/$D$31&gt;=0.5))),1,0),0)</f>
        <v>0</v>
      </c>
      <c r="O13" s="50"/>
    </row>
    <row r="14" spans="1:19" s="25" customFormat="1" ht="25.5" customHeight="1">
      <c r="A14" s="73"/>
      <c r="B14" s="50" t="str">
        <f>council_members!C10</f>
        <v>Keith Drazek</v>
      </c>
      <c r="C14" s="37" t="str">
        <f>council_members!D10</f>
        <v>CPH</v>
      </c>
      <c r="D14" s="37" t="str">
        <f>council_members!E10</f>
        <v>RySG</v>
      </c>
      <c r="E14" s="86">
        <v>6</v>
      </c>
      <c r="F14" s="30"/>
      <c r="G14" s="31"/>
      <c r="H14" s="31"/>
      <c r="I14" s="28"/>
      <c r="J14" s="29"/>
      <c r="K14" s="72"/>
      <c r="L14" s="81">
        <v>6</v>
      </c>
      <c r="M14" s="64" t="s">
        <v>72</v>
      </c>
      <c r="N14" s="65">
        <f>IF($C$4="Amendment to an Approved PDP Team Charter",IF($F$31/$D$31&gt;0.5,IF($F$32/$D$32&gt;0.5,1,0)),0)</f>
        <v>0</v>
      </c>
      <c r="O14" s="50"/>
    </row>
    <row r="15" spans="1:19" s="25" customFormat="1" ht="25.5" customHeight="1">
      <c r="A15" s="73"/>
      <c r="B15" s="50" t="str">
        <f>council_members!C11</f>
        <v>Rubens Kuhl</v>
      </c>
      <c r="C15" s="37" t="str">
        <f>council_members!D11</f>
        <v>CPH</v>
      </c>
      <c r="D15" s="37" t="str">
        <f>council_members!E11</f>
        <v>RySG</v>
      </c>
      <c r="E15" s="86">
        <v>7</v>
      </c>
      <c r="F15" s="30"/>
      <c r="G15" s="31"/>
      <c r="H15" s="31"/>
      <c r="I15" s="28"/>
      <c r="J15" s="29"/>
      <c r="K15" s="72"/>
      <c r="L15" s="81">
        <v>7</v>
      </c>
      <c r="M15" s="64" t="s">
        <v>69</v>
      </c>
      <c r="N15" s="67">
        <f>IF($C$4="Initiate PDP Not Within Scope",IF(AND($F$31/$D$31&gt;=0.666)*($F$32/$D$32&gt;=0.666),1,0),0)</f>
        <v>0</v>
      </c>
      <c r="O15" s="50"/>
    </row>
    <row r="16" spans="1:19" s="25" customFormat="1" ht="25.5" customHeight="1">
      <c r="A16" s="73"/>
      <c r="B16" s="50" t="str">
        <f>council_members!C12</f>
        <v>Johan Helsingius</v>
      </c>
      <c r="C16" s="38" t="str">
        <f>council_members!D12</f>
        <v>NCPH</v>
      </c>
      <c r="D16" s="38" t="str">
        <f>council_members!E12</f>
        <v>NCA</v>
      </c>
      <c r="E16" s="86">
        <v>8</v>
      </c>
      <c r="F16" s="26"/>
      <c r="G16" s="27"/>
      <c r="H16" s="27"/>
      <c r="I16" s="28"/>
      <c r="J16" s="29"/>
      <c r="K16" s="72"/>
      <c r="L16" s="81">
        <v>7</v>
      </c>
      <c r="M16" s="64" t="s">
        <v>70</v>
      </c>
      <c r="N16" s="67">
        <f>IF($C$4="Initiate PDP Not Within Scope",IF(OR((AND($F$31/$D$31&gt;=0.75)*($F$32/$D$32&gt;=0.5))+(AND($F$32/$D$32&gt;=0.75)*($F$31/$D$31&gt;=0.5))),1,0),0)</f>
        <v>0</v>
      </c>
      <c r="O16" s="50"/>
    </row>
    <row r="17" spans="1:17" s="25" customFormat="1" ht="25.5" customHeight="1">
      <c r="A17" s="73"/>
      <c r="B17" s="50" t="str">
        <f>council_members!C13</f>
        <v>Philip Corwin (BC)</v>
      </c>
      <c r="C17" s="38" t="str">
        <f>council_members!D13</f>
        <v>NCPH</v>
      </c>
      <c r="D17" s="38" t="str">
        <f>council_members!E13</f>
        <v>CSG</v>
      </c>
      <c r="E17" s="86">
        <v>9</v>
      </c>
      <c r="F17" s="26"/>
      <c r="G17" s="27"/>
      <c r="H17" s="27"/>
      <c r="I17" s="28"/>
      <c r="J17" s="29"/>
      <c r="K17" s="72"/>
      <c r="L17" s="81">
        <v>8</v>
      </c>
      <c r="M17" s="64" t="s">
        <v>73</v>
      </c>
      <c r="N17" s="65">
        <f>IF($C$4="Approve PDP Recommendation Without GNSO Super Majority",IF($F$31/$D$31&gt;0.5,IF($F$32/$D$32&gt;0.5,1,0)),0)</f>
        <v>0</v>
      </c>
      <c r="O17" s="50"/>
    </row>
    <row r="18" spans="1:17" s="25" customFormat="1" ht="25.5" customHeight="1">
      <c r="A18" s="73"/>
      <c r="B18" s="50" t="str">
        <f>council_members!C14</f>
        <v>Susan Kawaguchi (BC)</v>
      </c>
      <c r="C18" s="38" t="str">
        <f>council_members!D14</f>
        <v>NCPH</v>
      </c>
      <c r="D18" s="38" t="str">
        <f>council_members!E14</f>
        <v>CSG</v>
      </c>
      <c r="E18" s="86">
        <v>10</v>
      </c>
      <c r="F18" s="26"/>
      <c r="G18" s="27"/>
      <c r="H18" s="27"/>
      <c r="I18" s="28"/>
      <c r="J18" s="29"/>
      <c r="K18" s="72"/>
      <c r="L18" s="81">
        <v>9</v>
      </c>
      <c r="M18" s="64" t="s">
        <v>71</v>
      </c>
      <c r="N18" s="67">
        <f>IF($C$4="Approve PDP Recommendation With GNSO Super Majority",IF(AND($F$31/$D$31&gt;=0.666)*($F$32/$D$32&gt;=0.666),1,0),0)</f>
        <v>0</v>
      </c>
      <c r="O18" s="50"/>
    </row>
    <row r="19" spans="1:17" s="25" customFormat="1" ht="25.5" customHeight="1">
      <c r="A19" s="73"/>
      <c r="B19" s="50" t="str">
        <f>council_members!C15</f>
        <v>Heather Forrest (IPC)</v>
      </c>
      <c r="C19" s="38" t="str">
        <f>council_members!D15</f>
        <v>NCPH</v>
      </c>
      <c r="D19" s="38" t="str">
        <f>council_members!E15</f>
        <v>CSG</v>
      </c>
      <c r="E19" s="86">
        <v>11</v>
      </c>
      <c r="F19" s="30"/>
      <c r="G19" s="30"/>
      <c r="H19" s="30"/>
      <c r="I19" s="32"/>
      <c r="J19" s="29"/>
      <c r="K19" s="72"/>
      <c r="L19" s="81">
        <v>9</v>
      </c>
      <c r="M19" s="64" t="s">
        <v>74</v>
      </c>
      <c r="N19" s="67">
        <f>IF($C$4="Approve PDP Recommendation With GNSO Super Majority",IF(OR((AND($F$31/$D$31&gt;=0.75)*($F$32/$D$32&gt;=0.5))+(AND($F$32/$D$32&gt;=0.75)*($F$31/$D$31&gt;=0.5))),1,0),0)</f>
        <v>0</v>
      </c>
      <c r="O19" s="50"/>
    </row>
    <row r="20" spans="1:17" s="25" customFormat="1" ht="25.5" customHeight="1">
      <c r="A20" s="73"/>
      <c r="B20" s="50" t="str">
        <f>council_members!C16</f>
        <v>Paul McGrady (IPC)</v>
      </c>
      <c r="C20" s="38" t="str">
        <f>council_members!D16</f>
        <v>NCPH</v>
      </c>
      <c r="D20" s="38" t="str">
        <f>council_members!E16</f>
        <v>CSG</v>
      </c>
      <c r="E20" s="86">
        <v>12</v>
      </c>
      <c r="F20" s="30"/>
      <c r="G20" s="31"/>
      <c r="H20" s="31"/>
      <c r="I20" s="28"/>
      <c r="J20" s="29"/>
      <c r="K20" s="72"/>
      <c r="L20" s="81">
        <v>10</v>
      </c>
      <c r="M20" s="64" t="s">
        <v>75</v>
      </c>
      <c r="N20" s="67">
        <f>IF($C$4="Approve PDP Recommendation Imposing New Obligations on Certain Contracting Parties",IF(AND($F$31/$D$31&gt;=0.666)*($F$32/$D$32&gt;=0.666),1,0),0)</f>
        <v>0</v>
      </c>
      <c r="O20" s="50"/>
    </row>
    <row r="21" spans="1:17" s="25" customFormat="1" ht="25.5" customHeight="1">
      <c r="A21" s="73"/>
      <c r="B21" s="50" t="str">
        <f>council_members!C17</f>
        <v>Anthony Harris (ISPCP)</v>
      </c>
      <c r="C21" s="38" t="str">
        <f>council_members!D17</f>
        <v>NCPH</v>
      </c>
      <c r="D21" s="38" t="str">
        <f>council_members!E17</f>
        <v>CSG</v>
      </c>
      <c r="E21" s="86">
        <v>13</v>
      </c>
      <c r="F21" s="30"/>
      <c r="G21" s="31"/>
      <c r="H21" s="31"/>
      <c r="I21" s="28"/>
      <c r="J21" s="34"/>
      <c r="K21" s="72"/>
      <c r="L21" s="81">
        <v>10</v>
      </c>
      <c r="M21" s="64" t="s">
        <v>76</v>
      </c>
      <c r="N21" s="67">
        <f>IF($C$4="Approve PDP Recommendation Imposing New Obligations on Certain Contracting Parties",IF(OR((AND($F$31/$D$31&gt;=0.75)*($F$32/$D$32&gt;=0.5))+(AND($F$32/$D$32&gt;=0.75)*($F$31/$D$31&gt;=0.5))),1,0),0)</f>
        <v>0</v>
      </c>
      <c r="O21" s="18"/>
    </row>
    <row r="22" spans="1:17" s="25" customFormat="1" ht="25.5" customHeight="1">
      <c r="A22" s="73"/>
      <c r="B22" s="50" t="str">
        <f>council_members!C18</f>
        <v>Wolf-Ulrich Knoben (ISPCP)</v>
      </c>
      <c r="C22" s="38" t="str">
        <f>council_members!D18</f>
        <v>NCPH</v>
      </c>
      <c r="D22" s="38" t="str">
        <f>council_members!E18</f>
        <v>CSG</v>
      </c>
      <c r="E22" s="86">
        <v>14</v>
      </c>
      <c r="F22" s="26"/>
      <c r="G22" s="27"/>
      <c r="H22" s="27"/>
      <c r="I22" s="28"/>
      <c r="J22" s="29"/>
      <c r="K22" s="72"/>
      <c r="L22" s="81">
        <v>11</v>
      </c>
      <c r="M22" s="64" t="s">
        <v>78</v>
      </c>
      <c r="N22" s="67">
        <f>IF($C$4="Modify or Amend an Approved PDP Recommendation",IF(AND($F$31/$D$31&gt;=0.666)*($F$32/$D$32&gt;=0.666),1,0),0)</f>
        <v>0</v>
      </c>
      <c r="O22" s="18"/>
    </row>
    <row r="23" spans="1:17" s="25" customFormat="1" ht="25.5" customHeight="1">
      <c r="A23" s="73"/>
      <c r="B23" s="50" t="str">
        <f>council_members!C19</f>
        <v>David Cake</v>
      </c>
      <c r="C23" s="38" t="str">
        <f>council_members!D19</f>
        <v>NCPH</v>
      </c>
      <c r="D23" s="38" t="str">
        <f>council_members!E19</f>
        <v>NCSG</v>
      </c>
      <c r="E23" s="86">
        <v>15</v>
      </c>
      <c r="F23" s="30"/>
      <c r="G23" s="30"/>
      <c r="H23" s="30"/>
      <c r="I23" s="32"/>
      <c r="J23" s="29"/>
      <c r="K23" s="72"/>
      <c r="L23" s="81">
        <v>11</v>
      </c>
      <c r="M23" s="64" t="s">
        <v>77</v>
      </c>
      <c r="N23" s="67">
        <f>IF($C$4="Modify or Amend an Approved PDP Recommendation",IF(OR((AND($F$31/$D$31&gt;=0.75)*($F$32/$D$32&gt;=0.5))+(AND($F$32/$D$32&gt;=0.75)*($F$31/$D$31&gt;=0.5))),1,0),0)</f>
        <v>0</v>
      </c>
      <c r="O23" s="21"/>
      <c r="P23" s="3"/>
      <c r="Q23" s="3"/>
    </row>
    <row r="24" spans="1:17" s="25" customFormat="1" ht="25.5" customHeight="1">
      <c r="A24" s="73"/>
      <c r="B24" s="50" t="str">
        <f>council_members!C20</f>
        <v>Amr Elsadr</v>
      </c>
      <c r="C24" s="38" t="str">
        <f>council_members!D20</f>
        <v>NCPH</v>
      </c>
      <c r="D24" s="38" t="str">
        <f>council_members!E20</f>
        <v>NCSG</v>
      </c>
      <c r="E24" s="86">
        <v>16</v>
      </c>
      <c r="F24" s="30"/>
      <c r="G24" s="31"/>
      <c r="H24" s="31"/>
      <c r="I24" s="28"/>
      <c r="J24" s="29"/>
      <c r="K24" s="72"/>
      <c r="L24" s="81">
        <v>12</v>
      </c>
      <c r="M24" s="64" t="s">
        <v>97</v>
      </c>
      <c r="N24" s="67">
        <f>IF($C$4="Initiate an Expedited PDP (EPDP)",IF(AND($F$31/$D$31&gt;=0.666)*($F$32/$D$32&gt;=0.666),1,0),0)</f>
        <v>0</v>
      </c>
      <c r="O24" s="18"/>
      <c r="P24" s="3"/>
      <c r="Q24" s="3"/>
    </row>
    <row r="25" spans="1:17" s="25" customFormat="1" ht="25.5" customHeight="1">
      <c r="A25" s="73"/>
      <c r="B25" s="50" t="str">
        <f>council_members!C21</f>
        <v>Marilia Maciel</v>
      </c>
      <c r="C25" s="38" t="str">
        <f>council_members!D21</f>
        <v>NCPH</v>
      </c>
      <c r="D25" s="38" t="str">
        <f>council_members!E21</f>
        <v>NCSG</v>
      </c>
      <c r="E25" s="86">
        <v>17</v>
      </c>
      <c r="F25" s="30"/>
      <c r="G25" s="31"/>
      <c r="H25" s="31"/>
      <c r="I25" s="28"/>
      <c r="J25" s="29"/>
      <c r="K25" s="72"/>
      <c r="L25" s="81">
        <v>12</v>
      </c>
      <c r="M25" s="64" t="s">
        <v>98</v>
      </c>
      <c r="N25" s="67">
        <f>IF($C$4="Initiate an Expedited PDP (EPDP)",IF(OR((AND($F$31/$D$31&gt;=0.75)*($F$32/$D$32&gt;=0.5))+(AND($F$32/$D$32&gt;=0.75)*($F$31/$D$31&gt;=0.5))),1,0),0)</f>
        <v>0</v>
      </c>
      <c r="O25" s="21"/>
      <c r="P25" s="22"/>
      <c r="Q25" s="22"/>
    </row>
    <row r="26" spans="1:17" s="25" customFormat="1" ht="25.5" customHeight="1">
      <c r="A26" s="73"/>
      <c r="B26" s="50" t="str">
        <f>council_members!C22</f>
        <v>Stefania Milan</v>
      </c>
      <c r="C26" s="38" t="str">
        <f>council_members!D22</f>
        <v>NCPH</v>
      </c>
      <c r="D26" s="38" t="str">
        <f>council_members!E22</f>
        <v>NCSG</v>
      </c>
      <c r="E26" s="86">
        <v>18</v>
      </c>
      <c r="F26" s="30"/>
      <c r="G26" s="31"/>
      <c r="H26" s="31"/>
      <c r="I26" s="28"/>
      <c r="J26" s="29"/>
      <c r="K26" s="72"/>
      <c r="L26" s="81">
        <v>13</v>
      </c>
      <c r="M26" s="64" t="s">
        <v>99</v>
      </c>
      <c r="N26" s="67">
        <f>IF($C$4="Approve EPDP Charter",IF(AND($F$31/$D$31&gt;=0.666)*($F$32/$D$32&gt;=0.666),1,0),0)</f>
        <v>0</v>
      </c>
      <c r="O26" s="18"/>
      <c r="P26" s="19"/>
      <c r="Q26" s="19"/>
    </row>
    <row r="27" spans="1:17" s="25" customFormat="1" ht="25.5" customHeight="1">
      <c r="A27" s="73"/>
      <c r="B27" s="50" t="str">
        <f>council_members!C23</f>
        <v>Edward Morris</v>
      </c>
      <c r="C27" s="38" t="str">
        <f>council_members!D23</f>
        <v>NCPH</v>
      </c>
      <c r="D27" s="38" t="str">
        <f>council_members!E23</f>
        <v>NCSG</v>
      </c>
      <c r="E27" s="86">
        <v>19</v>
      </c>
      <c r="F27" s="26"/>
      <c r="G27" s="27"/>
      <c r="H27" s="27"/>
      <c r="I27" s="28"/>
      <c r="J27" s="29"/>
      <c r="K27" s="72"/>
      <c r="L27" s="81">
        <v>13</v>
      </c>
      <c r="M27" s="64" t="s">
        <v>100</v>
      </c>
      <c r="N27" s="67">
        <f>IF($C$4="Approve EPDP Charter",IF(OR((AND($F$31/$D$31&gt;=0.75)*($F$32/$D$32&gt;=0.5))+(AND($F$32/$D$32&gt;=0.75)*($F$31/$D$31&gt;=0.5))),1,0),0)</f>
        <v>0</v>
      </c>
      <c r="O27" s="21"/>
      <c r="P27" s="3"/>
      <c r="Q27" s="3"/>
    </row>
    <row r="28" spans="1:17" s="25" customFormat="1" ht="25.5" customHeight="1" thickBot="1">
      <c r="A28" s="73"/>
      <c r="B28" s="50" t="str">
        <f>council_members!C24</f>
        <v>Stephanie Perrin</v>
      </c>
      <c r="C28" s="38" t="str">
        <f>council_members!D24</f>
        <v>NCPH</v>
      </c>
      <c r="D28" s="38" t="str">
        <f>council_members!E24</f>
        <v>NCSG</v>
      </c>
      <c r="E28" s="87">
        <v>20</v>
      </c>
      <c r="F28" s="33"/>
      <c r="G28" s="35"/>
      <c r="H28" s="35"/>
      <c r="I28" s="36"/>
      <c r="J28" s="29"/>
      <c r="K28" s="72"/>
      <c r="L28" s="81">
        <v>14</v>
      </c>
      <c r="M28" s="64" t="s">
        <v>101</v>
      </c>
      <c r="N28" s="67">
        <f>IF($C$4="Approve EPDP Recommendations",IF(AND($F$31/$D$31&gt;=0.666)*($F$32/$D$32&gt;=0.666),1,0),0)</f>
        <v>0</v>
      </c>
      <c r="O28" s="18"/>
      <c r="P28" s="3"/>
      <c r="Q28" s="3"/>
    </row>
    <row r="29" spans="1:17" s="3" customFormat="1" ht="25.5" customHeight="1" thickTop="1">
      <c r="A29" s="73"/>
      <c r="B29" s="18"/>
      <c r="C29" s="51"/>
      <c r="D29" s="52"/>
      <c r="E29" s="53"/>
      <c r="F29" s="51"/>
      <c r="G29" s="54"/>
      <c r="H29" s="54"/>
      <c r="I29" s="54"/>
      <c r="J29" s="12"/>
      <c r="K29" s="17"/>
      <c r="L29" s="80">
        <v>14</v>
      </c>
      <c r="M29" s="64" t="s">
        <v>102</v>
      </c>
      <c r="N29" s="67">
        <f>IF($C$4="Approve EPDP Recommendations",IF(OR((AND($F$31/$D$31&gt;=0.75)*($F$32/$D$32&gt;=0.5))+(AND($F$32/$D$32&gt;=0.75)*($F$31/$D$31&gt;=0.5))),1,0),0)</f>
        <v>0</v>
      </c>
      <c r="O29" s="21"/>
      <c r="P29" s="1"/>
      <c r="Q29" s="1"/>
    </row>
    <row r="30" spans="1:17" s="3" customFormat="1" ht="25.5" customHeight="1">
      <c r="B30" s="18"/>
      <c r="C30" s="55" t="s">
        <v>56</v>
      </c>
      <c r="D30" s="56" t="s">
        <v>57</v>
      </c>
      <c r="E30" s="53"/>
      <c r="F30" s="51"/>
      <c r="G30" s="54"/>
      <c r="H30" s="54"/>
      <c r="I30" s="54"/>
      <c r="J30" s="12"/>
      <c r="K30" s="17"/>
      <c r="L30" s="80">
        <v>15</v>
      </c>
      <c r="M30" s="64" t="s">
        <v>104</v>
      </c>
      <c r="N30" s="67">
        <f>IF($C$4="Approve EPDP Recommendations Imposing New Obligations on Certain Contracting Parties",IF(AND($F$31/$D$31&gt;=0.666)*($F$32/$D$32&gt;=0.666),1,0),0)</f>
        <v>0</v>
      </c>
      <c r="O30" s="18"/>
      <c r="P30" s="1"/>
      <c r="Q30" s="1"/>
    </row>
    <row r="31" spans="1:17" s="22" customFormat="1" ht="25.5" customHeight="1">
      <c r="B31" s="57" t="s">
        <v>13</v>
      </c>
      <c r="C31" s="58">
        <f>IF(D31&lt;7,0,F31/D31)</f>
        <v>0</v>
      </c>
      <c r="D31" s="59">
        <f>SUM(F31:I31)</f>
        <v>0</v>
      </c>
      <c r="E31" s="60"/>
      <c r="F31" s="60">
        <f>SUMIF($C9:$C28,"CPH",F9:F28)</f>
        <v>0</v>
      </c>
      <c r="G31" s="60">
        <f>SUMIF($C9:$C28,"CPH",G9:G28)</f>
        <v>0</v>
      </c>
      <c r="H31" s="60">
        <f>SUMIF($C9:$C28,"CPH",H9:H28)</f>
        <v>0</v>
      </c>
      <c r="I31" s="60">
        <f>SUMIF($C9:$C28,"CPH",I9:I28)</f>
        <v>0</v>
      </c>
      <c r="J31" s="20"/>
      <c r="K31" s="21"/>
      <c r="L31" s="80">
        <v>15</v>
      </c>
      <c r="M31" s="64" t="s">
        <v>105</v>
      </c>
      <c r="N31" s="67">
        <f>IF($C$4="Approve EPDP Recommendations Imposing New Obligations on Certain Contracting Parties",IF(OR((AND($F$31/$D$31&gt;=0.75)*($F$32/$D$32&gt;=0.5))+(AND($F$32/$D$32&gt;=0.75)*($F$31/$D$31&gt;=0.5))),1,0),0)</f>
        <v>0</v>
      </c>
      <c r="O31" s="21"/>
      <c r="P31" s="1"/>
      <c r="Q31" s="1"/>
    </row>
    <row r="32" spans="1:17" s="19" customFormat="1" ht="25.5" customHeight="1">
      <c r="B32" s="57" t="s">
        <v>14</v>
      </c>
      <c r="C32" s="58">
        <f>IF(D32&lt;13,0,F32/D32)</f>
        <v>0</v>
      </c>
      <c r="D32" s="59">
        <f>SUM(F32:I32)</f>
        <v>0</v>
      </c>
      <c r="E32" s="60"/>
      <c r="F32" s="60">
        <f>SUMIF($C9:$C28,"NCPH",F9:F28)</f>
        <v>0</v>
      </c>
      <c r="G32" s="60">
        <f>SUMIF($C9:$C28,"NCPH",G9:G28)</f>
        <v>0</v>
      </c>
      <c r="H32" s="60">
        <f>SUMIF($C9:$C28,"NCPH",H9:H28)</f>
        <v>0</v>
      </c>
      <c r="I32" s="60">
        <f>SUMIF($C9:$C28,"NCPH",I9:I28)</f>
        <v>0</v>
      </c>
      <c r="J32" s="23"/>
      <c r="K32" s="24"/>
      <c r="L32" s="80">
        <v>16</v>
      </c>
      <c r="M32" s="64" t="s">
        <v>106</v>
      </c>
      <c r="N32" s="65">
        <f>IF($C$4="Initiate GNSO Guidance Process (GGP)",IF($F$31/$D$31&gt;0.666,1,IF($F$32/$D$32&gt;0.666,1,0)),0)</f>
        <v>0</v>
      </c>
      <c r="O32" s="50"/>
      <c r="P32" s="1"/>
      <c r="Q32" s="1"/>
    </row>
    <row r="33" spans="2:17" s="3" customFormat="1" ht="25.5" customHeight="1">
      <c r="B33" s="18"/>
      <c r="C33" s="54"/>
      <c r="D33" s="54"/>
      <c r="E33" s="51"/>
      <c r="F33" s="61"/>
      <c r="G33" s="54"/>
      <c r="H33" s="54"/>
      <c r="I33" s="62"/>
      <c r="J33" s="7"/>
      <c r="K33" s="18"/>
      <c r="L33" s="80">
        <v>16</v>
      </c>
      <c r="M33" s="64" t="s">
        <v>107</v>
      </c>
      <c r="N33" s="65">
        <f>IF($C$4="Initiate GNSO Guidance Process (GGP)",IF($F$31/$D$31&gt;0.333,IF($F$32/$D$32&gt;0.333,1,0)),0)</f>
        <v>0</v>
      </c>
      <c r="O33" s="50"/>
      <c r="P33" s="1"/>
      <c r="Q33" s="1"/>
    </row>
    <row r="34" spans="2:17" s="3" customFormat="1" ht="25.5" customHeight="1">
      <c r="C34" s="14"/>
      <c r="D34" s="14"/>
      <c r="E34" s="8"/>
      <c r="F34" s="7"/>
      <c r="G34" s="7"/>
      <c r="H34" s="7"/>
      <c r="I34" s="7"/>
      <c r="J34" s="7"/>
      <c r="K34" s="18"/>
      <c r="L34" s="80">
        <v>17</v>
      </c>
      <c r="M34" s="64" t="s">
        <v>108</v>
      </c>
      <c r="N34" s="67">
        <f>IF($C$4="Reject Initiation of GGP Requested by the ICANN Board",IF(AND($F$31/$D$31&gt;=0.666)*($F$32/$D$32&gt;=0.666),1,0),0)</f>
        <v>0</v>
      </c>
      <c r="O34" s="18"/>
      <c r="P34" s="1"/>
      <c r="Q34" s="1"/>
    </row>
    <row r="35" spans="2:17" ht="25.5" customHeight="1">
      <c r="L35" s="80">
        <v>17</v>
      </c>
      <c r="M35" s="64" t="s">
        <v>109</v>
      </c>
      <c r="N35" s="67">
        <f>IF($C$4="Reject Initiation of GGP Requested by the ICANN Board",IF(OR((AND($F$31/$D$31&gt;=0.75)*($F$32/$D$32&gt;=0.5))+(AND($F$32/$D$32&gt;=0.75)*($F$31/$D$31&gt;=0.5))),1,0),0)</f>
        <v>0</v>
      </c>
      <c r="O35" s="21"/>
    </row>
    <row r="36" spans="2:17" ht="25.5" customHeight="1">
      <c r="L36" s="80">
        <v>18</v>
      </c>
      <c r="M36" s="64" t="s">
        <v>110</v>
      </c>
      <c r="N36" s="67">
        <f>IF($C$4="Approve GGP Recommendations",IF(AND($F$31/$D$31&gt;=0.666)*($F$32/$D$32&gt;=0.666),1,0),0)</f>
        <v>0</v>
      </c>
      <c r="O36" s="18"/>
    </row>
    <row r="37" spans="2:17" ht="25.5" customHeight="1">
      <c r="L37" s="80">
        <v>18</v>
      </c>
      <c r="M37" s="64" t="s">
        <v>111</v>
      </c>
      <c r="N37" s="67">
        <f>IF($C$4="Approve GGP Recommendations",IF(OR((AND($F$31/$D$31&gt;=0.75)*($F$32/$D$32&gt;=0.5))+(AND($F$32/$D$32&gt;=0.75)*($F$31/$D$31&gt;=0.5))),1,0),0)</f>
        <v>0</v>
      </c>
      <c r="O37" s="21"/>
    </row>
    <row r="38" spans="2:17" ht="25.5" customHeight="1">
      <c r="L38" s="80">
        <v>19</v>
      </c>
      <c r="M38" s="64" t="s">
        <v>83</v>
      </c>
      <c r="N38" s="65">
        <f>IF($C$4="All Other (Default)",IF($F$31/$D$31&gt;0.5,IF($F$32/$D$32&gt;0.5,1,0)),0)</f>
        <v>0</v>
      </c>
      <c r="O38" s="50"/>
    </row>
    <row r="39" spans="2:17" ht="25.5" customHeight="1">
      <c r="M39" s="19"/>
      <c r="N39" s="19"/>
      <c r="O39" s="19"/>
    </row>
    <row r="40" spans="2:17" ht="25.5" customHeight="1">
      <c r="M40" s="19"/>
      <c r="N40" s="19"/>
      <c r="O40" s="19"/>
    </row>
    <row r="41" spans="2:17" ht="25.5" customHeight="1">
      <c r="M41" s="19"/>
      <c r="N41" s="19"/>
      <c r="O41" s="19"/>
    </row>
    <row r="42" spans="2:17" ht="25.5" customHeight="1">
      <c r="M42" s="19"/>
      <c r="N42" s="19"/>
      <c r="O42" s="19"/>
    </row>
    <row r="43" spans="2:17" ht="25.5" customHeight="1">
      <c r="M43" s="19"/>
      <c r="N43" s="19"/>
      <c r="O43" s="19"/>
    </row>
    <row r="44" spans="2:17" ht="25.5" customHeight="1">
      <c r="M44" s="19"/>
      <c r="N44" s="19"/>
      <c r="O44" s="19"/>
    </row>
    <row r="45" spans="2:17" ht="25.5" customHeight="1">
      <c r="M45" s="19"/>
      <c r="N45" s="19"/>
      <c r="O45" s="19"/>
    </row>
    <row r="46" spans="2:17" ht="25.5" customHeight="1">
      <c r="M46" s="19"/>
      <c r="N46" s="19"/>
      <c r="O46" s="19"/>
    </row>
    <row r="47" spans="2:17" ht="25.5" customHeight="1">
      <c r="M47" s="19"/>
      <c r="N47" s="19"/>
      <c r="O47" s="19"/>
    </row>
    <row r="48" spans="2:17" ht="25.5" customHeight="1">
      <c r="M48" s="19"/>
      <c r="N48" s="19"/>
      <c r="O48" s="19"/>
    </row>
    <row r="49" spans="3:17" ht="25.5" customHeight="1">
      <c r="M49" s="19"/>
      <c r="N49" s="19"/>
      <c r="O49" s="19"/>
    </row>
    <row r="50" spans="3:17" ht="25.5" customHeight="1">
      <c r="M50" s="19"/>
      <c r="N50" s="19"/>
      <c r="O50" s="19"/>
    </row>
    <row r="51" spans="3:17" ht="25.5" customHeight="1">
      <c r="M51" s="19"/>
      <c r="N51" s="19"/>
      <c r="O51" s="19"/>
    </row>
    <row r="52" spans="3:17" ht="25.5" customHeight="1">
      <c r="M52" s="19"/>
      <c r="N52" s="19"/>
      <c r="O52" s="19"/>
    </row>
    <row r="53" spans="3:17" ht="25.5" customHeight="1">
      <c r="M53" s="19"/>
      <c r="N53" s="19"/>
      <c r="O53" s="19"/>
    </row>
    <row r="54" spans="3:17" ht="25.5" customHeight="1">
      <c r="M54" s="19"/>
      <c r="N54" s="19"/>
      <c r="O54" s="19"/>
    </row>
    <row r="55" spans="3:17" ht="25.5" customHeight="1">
      <c r="M55" s="19"/>
      <c r="N55" s="19"/>
      <c r="O55" s="19"/>
      <c r="P55" s="16"/>
      <c r="Q55" s="16"/>
    </row>
    <row r="56" spans="3:17" ht="18.75">
      <c r="M56" s="19"/>
      <c r="N56" s="19"/>
      <c r="O56" s="19"/>
    </row>
    <row r="57" spans="3:17" ht="18.75">
      <c r="M57" s="19"/>
      <c r="N57" s="19"/>
      <c r="O57" s="19"/>
    </row>
    <row r="58" spans="3:17" ht="18.75">
      <c r="M58" s="19"/>
      <c r="N58" s="19"/>
      <c r="O58" s="19"/>
    </row>
    <row r="59" spans="3:17" ht="18.75">
      <c r="M59" s="19"/>
      <c r="N59" s="19"/>
      <c r="O59" s="19"/>
    </row>
    <row r="60" spans="3:17" ht="18.75" hidden="1">
      <c r="M60" s="19"/>
      <c r="N60" s="19"/>
      <c r="O60" s="19"/>
    </row>
    <row r="61" spans="3:17" s="16" customFormat="1" ht="18.75" hidden="1">
      <c r="C61" s="91" t="s">
        <v>16</v>
      </c>
      <c r="D61" s="91"/>
      <c r="E61" s="91"/>
      <c r="F61" s="91"/>
      <c r="G61" s="91"/>
      <c r="H61" s="91"/>
      <c r="I61" s="91"/>
      <c r="J61" s="15"/>
      <c r="L61" s="77"/>
      <c r="M61" s="19"/>
      <c r="N61" s="19"/>
      <c r="O61" s="19"/>
      <c r="P61" s="1"/>
      <c r="Q61" s="1"/>
    </row>
    <row r="62" spans="3:17" ht="18.75" hidden="1">
      <c r="E62" s="6" t="s">
        <v>6</v>
      </c>
      <c r="F62" s="6" t="s">
        <v>7</v>
      </c>
      <c r="G62" s="6" t="s">
        <v>8</v>
      </c>
      <c r="H62" s="6" t="s">
        <v>9</v>
      </c>
      <c r="M62" s="19"/>
      <c r="N62" s="19"/>
      <c r="O62" s="19"/>
    </row>
    <row r="63" spans="3:17" ht="18.75" hidden="1">
      <c r="E63" s="5">
        <v>1</v>
      </c>
      <c r="F63" s="5">
        <f t="shared" ref="F63:F82" ca="1" si="0">RAND()</f>
        <v>0.7674787852421906</v>
      </c>
      <c r="G63" s="5">
        <f t="shared" ref="G63:G82" ca="1" si="1">INDEX($E$63:$E$82,RANK(F63,$F$63:$F$82))</f>
        <v>8</v>
      </c>
      <c r="H63" s="13">
        <f ca="1">G63</f>
        <v>8</v>
      </c>
      <c r="M63" s="19"/>
      <c r="N63" s="19"/>
      <c r="O63" s="19"/>
    </row>
    <row r="64" spans="3:17" ht="18.75" hidden="1">
      <c r="E64" s="5">
        <v>2</v>
      </c>
      <c r="F64" s="5">
        <f t="shared" ca="1" si="0"/>
        <v>0.77127725458311414</v>
      </c>
      <c r="G64" s="5">
        <f t="shared" ca="1" si="1"/>
        <v>7</v>
      </c>
      <c r="H64" s="13">
        <f t="shared" ref="H64:H82" ca="1" si="2">G64</f>
        <v>7</v>
      </c>
      <c r="M64" s="19"/>
      <c r="N64" s="19"/>
      <c r="O64" s="19"/>
    </row>
    <row r="65" spans="5:15" s="1" customFormat="1" ht="15.75" hidden="1">
      <c r="E65" s="5">
        <v>3</v>
      </c>
      <c r="F65" s="5">
        <f t="shared" ca="1" si="0"/>
        <v>0.79367878897126787</v>
      </c>
      <c r="G65" s="5">
        <f t="shared" ca="1" si="1"/>
        <v>5</v>
      </c>
      <c r="H65" s="13">
        <f t="shared" ca="1" si="2"/>
        <v>5</v>
      </c>
      <c r="I65" s="2"/>
      <c r="J65" s="2"/>
      <c r="L65" s="77"/>
      <c r="M65" s="3"/>
      <c r="N65" s="3"/>
      <c r="O65" s="3"/>
    </row>
    <row r="66" spans="5:15" s="1" customFormat="1" ht="15.75" hidden="1">
      <c r="E66" s="5">
        <v>4</v>
      </c>
      <c r="F66" s="5">
        <f t="shared" ca="1" si="0"/>
        <v>0.23986291647880575</v>
      </c>
      <c r="G66" s="5">
        <f t="shared" ca="1" si="1"/>
        <v>14</v>
      </c>
      <c r="H66" s="13">
        <f t="shared" ca="1" si="2"/>
        <v>14</v>
      </c>
      <c r="I66" s="2"/>
      <c r="J66" s="2"/>
      <c r="L66" s="77"/>
      <c r="M66" s="3"/>
      <c r="N66" s="3"/>
      <c r="O66" s="3"/>
    </row>
    <row r="67" spans="5:15" s="1" customFormat="1" ht="15.75" hidden="1">
      <c r="E67" s="5">
        <v>5</v>
      </c>
      <c r="F67" s="5">
        <f t="shared" ca="1" si="0"/>
        <v>0.46355194504614872</v>
      </c>
      <c r="G67" s="5">
        <f t="shared" ca="1" si="1"/>
        <v>12</v>
      </c>
      <c r="H67" s="13">
        <f t="shared" ca="1" si="2"/>
        <v>12</v>
      </c>
      <c r="I67" s="2"/>
      <c r="J67" s="2"/>
      <c r="L67" s="77"/>
    </row>
    <row r="68" spans="5:15" s="1" customFormat="1" ht="15.75" hidden="1">
      <c r="E68" s="5">
        <v>6</v>
      </c>
      <c r="F68" s="5">
        <f t="shared" ca="1" si="0"/>
        <v>9.2608993242812576E-2</v>
      </c>
      <c r="G68" s="5">
        <f t="shared" ca="1" si="1"/>
        <v>19</v>
      </c>
      <c r="H68" s="13">
        <f t="shared" ca="1" si="2"/>
        <v>19</v>
      </c>
      <c r="I68" s="2"/>
      <c r="J68" s="2"/>
      <c r="L68" s="77"/>
      <c r="M68" s="16"/>
      <c r="N68" s="16"/>
      <c r="O68" s="16"/>
    </row>
    <row r="69" spans="5:15" s="1" customFormat="1" ht="15.75" hidden="1">
      <c r="E69" s="5">
        <v>7</v>
      </c>
      <c r="F69" s="5">
        <f t="shared" ca="1" si="0"/>
        <v>9.2657068201910331E-2</v>
      </c>
      <c r="G69" s="5">
        <f t="shared" ca="1" si="1"/>
        <v>18</v>
      </c>
      <c r="H69" s="13">
        <f t="shared" ca="1" si="2"/>
        <v>18</v>
      </c>
      <c r="I69" s="2"/>
      <c r="J69" s="2"/>
      <c r="L69" s="77"/>
    </row>
    <row r="70" spans="5:15" s="1" customFormat="1" ht="15.75" hidden="1">
      <c r="E70" s="5">
        <v>8</v>
      </c>
      <c r="F70" s="5">
        <f t="shared" ca="1" si="0"/>
        <v>0.14140734388155396</v>
      </c>
      <c r="G70" s="5">
        <f t="shared" ca="1" si="1"/>
        <v>16</v>
      </c>
      <c r="H70" s="13">
        <f t="shared" ca="1" si="2"/>
        <v>16</v>
      </c>
      <c r="I70" s="2"/>
      <c r="J70" s="2"/>
      <c r="L70" s="77"/>
    </row>
    <row r="71" spans="5:15" s="1" customFormat="1" ht="15.75" hidden="1">
      <c r="E71" s="5">
        <v>9</v>
      </c>
      <c r="F71" s="5">
        <f t="shared" ca="1" si="0"/>
        <v>0.51725053994859205</v>
      </c>
      <c r="G71" s="5">
        <f t="shared" ca="1" si="1"/>
        <v>11</v>
      </c>
      <c r="H71" s="13">
        <f t="shared" ca="1" si="2"/>
        <v>11</v>
      </c>
      <c r="I71" s="2"/>
      <c r="J71" s="2"/>
      <c r="L71" s="77"/>
    </row>
    <row r="72" spans="5:15" s="1" customFormat="1" ht="15.75" hidden="1">
      <c r="E72" s="5">
        <v>10</v>
      </c>
      <c r="F72" s="5">
        <f t="shared" ca="1" si="0"/>
        <v>0.5456069968973829</v>
      </c>
      <c r="G72" s="5">
        <f t="shared" ca="1" si="1"/>
        <v>10</v>
      </c>
      <c r="H72" s="13">
        <f t="shared" ca="1" si="2"/>
        <v>10</v>
      </c>
      <c r="I72" s="2"/>
      <c r="J72" s="2"/>
      <c r="L72" s="77"/>
    </row>
    <row r="73" spans="5:15" s="1" customFormat="1" ht="15.75" hidden="1">
      <c r="E73" s="5">
        <v>11</v>
      </c>
      <c r="F73" s="5">
        <f t="shared" ca="1" si="0"/>
        <v>0.79563420332796964</v>
      </c>
      <c r="G73" s="5">
        <f t="shared" ca="1" si="1"/>
        <v>4</v>
      </c>
      <c r="H73" s="13">
        <f t="shared" ca="1" si="2"/>
        <v>4</v>
      </c>
      <c r="I73" s="2"/>
      <c r="J73" s="2"/>
      <c r="L73" s="77"/>
    </row>
    <row r="74" spans="5:15" s="1" customFormat="1" ht="15.75" hidden="1">
      <c r="E74" s="5">
        <v>12</v>
      </c>
      <c r="F74" s="5">
        <f t="shared" ca="1" si="0"/>
        <v>0.10085838014612059</v>
      </c>
      <c r="G74" s="5">
        <f t="shared" ca="1" si="1"/>
        <v>17</v>
      </c>
      <c r="H74" s="13">
        <f t="shared" ca="1" si="2"/>
        <v>17</v>
      </c>
      <c r="I74" s="2"/>
      <c r="J74" s="2"/>
      <c r="L74" s="77"/>
    </row>
    <row r="75" spans="5:15" s="1" customFormat="1" ht="15.75" hidden="1">
      <c r="E75" s="5">
        <v>13</v>
      </c>
      <c r="F75" s="5">
        <f t="shared" ca="1" si="0"/>
        <v>0.99734781763543334</v>
      </c>
      <c r="G75" s="5">
        <f t="shared" ca="1" si="1"/>
        <v>1</v>
      </c>
      <c r="H75" s="13">
        <f t="shared" ca="1" si="2"/>
        <v>1</v>
      </c>
      <c r="I75" s="2"/>
      <c r="J75" s="2"/>
      <c r="L75" s="77"/>
    </row>
    <row r="76" spans="5:15" s="1" customFormat="1" ht="15.75" hidden="1">
      <c r="E76" s="5">
        <v>14</v>
      </c>
      <c r="F76" s="5">
        <f t="shared" ca="1" si="0"/>
        <v>0.38959889130402026</v>
      </c>
      <c r="G76" s="5">
        <f t="shared" ca="1" si="1"/>
        <v>13</v>
      </c>
      <c r="H76" s="13">
        <f t="shared" ca="1" si="2"/>
        <v>13</v>
      </c>
      <c r="I76" s="2"/>
      <c r="J76" s="2"/>
      <c r="L76" s="77"/>
    </row>
    <row r="77" spans="5:15" s="1" customFormat="1" ht="15.75" hidden="1">
      <c r="E77" s="5">
        <v>15</v>
      </c>
      <c r="F77" s="5">
        <f t="shared" ca="1" si="0"/>
        <v>0.81158944614345718</v>
      </c>
      <c r="G77" s="5">
        <f t="shared" ca="1" si="1"/>
        <v>3</v>
      </c>
      <c r="H77" s="13">
        <f t="shared" ca="1" si="2"/>
        <v>3</v>
      </c>
      <c r="I77" s="2"/>
      <c r="J77" s="2"/>
      <c r="L77" s="77"/>
    </row>
    <row r="78" spans="5:15" s="1" customFormat="1" ht="15.75" hidden="1">
      <c r="E78" s="5">
        <v>16</v>
      </c>
      <c r="F78" s="5">
        <f t="shared" ca="1" si="0"/>
        <v>0.66997294973207</v>
      </c>
      <c r="G78" s="5">
        <f t="shared" ca="1" si="1"/>
        <v>9</v>
      </c>
      <c r="H78" s="13">
        <f t="shared" ca="1" si="2"/>
        <v>9</v>
      </c>
      <c r="I78" s="2"/>
      <c r="J78" s="2"/>
      <c r="L78" s="77"/>
    </row>
    <row r="79" spans="5:15" s="1" customFormat="1" ht="15.75" hidden="1">
      <c r="E79" s="5">
        <v>17</v>
      </c>
      <c r="F79" s="5">
        <f t="shared" ca="1" si="0"/>
        <v>0.14829572372331323</v>
      </c>
      <c r="G79" s="5">
        <f t="shared" ca="1" si="1"/>
        <v>15</v>
      </c>
      <c r="H79" s="13">
        <f t="shared" ca="1" si="2"/>
        <v>15</v>
      </c>
      <c r="I79" s="2"/>
      <c r="J79" s="2"/>
      <c r="L79" s="77"/>
    </row>
    <row r="80" spans="5:15" s="1" customFormat="1" ht="15.75" hidden="1">
      <c r="E80" s="5">
        <v>18</v>
      </c>
      <c r="F80" s="5">
        <f t="shared" ca="1" si="0"/>
        <v>0.82545831268796521</v>
      </c>
      <c r="G80" s="5">
        <f t="shared" ca="1" si="1"/>
        <v>2</v>
      </c>
      <c r="H80" s="13">
        <f t="shared" ca="1" si="2"/>
        <v>2</v>
      </c>
      <c r="I80" s="2"/>
      <c r="J80" s="2"/>
      <c r="L80" s="77"/>
    </row>
    <row r="81" spans="2:8" s="1" customFormat="1" ht="15.75" hidden="1">
      <c r="C81" s="2"/>
      <c r="D81" s="2"/>
      <c r="E81" s="5">
        <v>19</v>
      </c>
      <c r="F81" s="5">
        <f t="shared" ca="1" si="0"/>
        <v>0.79312213980063573</v>
      </c>
      <c r="G81" s="5">
        <f t="shared" ca="1" si="1"/>
        <v>6</v>
      </c>
      <c r="H81" s="13">
        <f t="shared" ca="1" si="2"/>
        <v>6</v>
      </c>
    </row>
    <row r="82" spans="2:8" s="1" customFormat="1" ht="15.75" hidden="1">
      <c r="C82" s="2"/>
      <c r="D82" s="2"/>
      <c r="E82" s="5">
        <v>20</v>
      </c>
      <c r="F82" s="5">
        <f t="shared" ca="1" si="0"/>
        <v>7.0441495074762495E-2</v>
      </c>
      <c r="G82" s="5">
        <f t="shared" ca="1" si="1"/>
        <v>20</v>
      </c>
      <c r="H82" s="13">
        <f t="shared" ca="1" si="2"/>
        <v>20</v>
      </c>
    </row>
    <row r="83" spans="2:8" s="1" customFormat="1" hidden="1">
      <c r="C83" s="2"/>
      <c r="D83" s="2"/>
      <c r="E83" s="4"/>
      <c r="F83" s="2"/>
      <c r="G83" s="2"/>
      <c r="H83" s="2"/>
    </row>
    <row r="95" spans="2:8" s="1" customFormat="1">
      <c r="B95" s="10"/>
      <c r="C95" s="2"/>
      <c r="D95" s="2"/>
      <c r="E95" s="4"/>
      <c r="F95" s="2"/>
      <c r="G95" s="2"/>
      <c r="H95" s="2"/>
    </row>
  </sheetData>
  <sheetProtection password="C991" sheet="1" objects="1" scenarios="1"/>
  <mergeCells count="7">
    <mergeCell ref="C61:I61"/>
    <mergeCell ref="C2:K2"/>
    <mergeCell ref="C3:K3"/>
    <mergeCell ref="C4:I4"/>
    <mergeCell ref="C5:D5"/>
    <mergeCell ref="C6:D6"/>
    <mergeCell ref="F7:I7"/>
  </mergeCells>
  <conditionalFormatting sqref="B9">
    <cfRule type="expression" dxfId="75" priority="75" stopIfTrue="1">
      <formula>SUM(F9:I9)=0</formula>
    </cfRule>
    <cfRule type="expression" dxfId="74" priority="76" stopIfTrue="1">
      <formula>SUM(F9:I9)&gt;1</formula>
    </cfRule>
  </conditionalFormatting>
  <conditionalFormatting sqref="D31">
    <cfRule type="cellIs" dxfId="73" priority="73" stopIfTrue="1" operator="equal">
      <formula>7</formula>
    </cfRule>
    <cfRule type="cellIs" dxfId="72" priority="74" stopIfTrue="1" operator="lessThan">
      <formula>7</formula>
    </cfRule>
  </conditionalFormatting>
  <conditionalFormatting sqref="D32">
    <cfRule type="cellIs" dxfId="71" priority="71" stopIfTrue="1" operator="equal">
      <formula>13</formula>
    </cfRule>
    <cfRule type="cellIs" dxfId="70" priority="72" stopIfTrue="1" operator="lessThan">
      <formula>13</formula>
    </cfRule>
  </conditionalFormatting>
  <conditionalFormatting sqref="B10:B28">
    <cfRule type="expression" dxfId="69" priority="69" stopIfTrue="1">
      <formula>SUM(F10:I10)=0</formula>
    </cfRule>
    <cfRule type="expression" dxfId="68" priority="70" stopIfTrue="1">
      <formula>SUM(F10:I10)&gt;1</formula>
    </cfRule>
  </conditionalFormatting>
  <conditionalFormatting sqref="C31">
    <cfRule type="expression" dxfId="67" priority="8">
      <formula>IF($C$4="Create Issue Report",IF($F$31/$D$31&gt;0.25,1,0),0)</formula>
    </cfRule>
    <cfRule type="expression" dxfId="66" priority="9">
      <formula>IF($C$4="Initiate PDP Within Scope",IF($F$31/$D$31&gt;0.333,1,0),0)</formula>
    </cfRule>
    <cfRule type="expression" dxfId="65" priority="10">
      <formula>IF($C$4="Initiate PDP Not Within Scope",IF($F$31/$D$31&gt;0.5,1,0),0)</formula>
    </cfRule>
    <cfRule type="expression" dxfId="64" priority="11">
      <formula>IF($C$4="Approve PDP Team Charter for PDP Within Scope",IF($F$31/$D$31&gt;0.333,1,0),0)</formula>
    </cfRule>
    <cfRule type="expression" dxfId="63" priority="12">
      <formula>IF($C$4="Approve PDP Team Charter for PDP Not Within Scope",IF($F$31/$D$31&gt;0.5,1,0),0)</formula>
    </cfRule>
    <cfRule type="expression" dxfId="62" priority="13">
      <formula>IF($C$4="Amendment to an Approved PDP Team Charter",IF($F$31/$D$31&gt;0.5,1,0),0)</formula>
    </cfRule>
    <cfRule type="expression" dxfId="61" priority="14">
      <formula>IF($C$4="Terminate a PDP",IF($F$31/$D$31&gt;0.5,1,0),0)</formula>
    </cfRule>
    <cfRule type="expression" dxfId="60" priority="31">
      <formula>IF($C$4="Approve PDP Recommendation Without GNSO Super Majority",IF($F$31/$D$31&gt;0.5,1,0),0)</formula>
    </cfRule>
    <cfRule type="expression" dxfId="59" priority="42">
      <formula>IF($C$4="Approve PDP Recommendation With GNSO Super Majority",IF($F$31/$D$31&gt;0.5,1,0),0)</formula>
    </cfRule>
    <cfRule type="expression" dxfId="58" priority="43">
      <formula>IF($C$4="Approve PDP Recommendation Imposing New Obligations on Certain Contracting Parties",IF($F$31/$D$31&gt;0.5,1,0),0)</formula>
    </cfRule>
    <cfRule type="expression" dxfId="57" priority="44">
      <formula>IF($C$4="Modify or Amend an Approved PDP Recommendation",IF($F$31/$D$31&gt;0.5,1,0),0)</formula>
    </cfRule>
    <cfRule type="expression" dxfId="56" priority="45">
      <formula>IF($C$4="Initiate an Expedited PDP (EPDP)",IF($F$31/$D$31&gt;0.5,1,0),0)</formula>
    </cfRule>
    <cfRule type="expression" dxfId="55" priority="46">
      <formula>IF($C$4="Approve EPDP Charter",IF($F$31/$D$31&gt;0.5,1,0),0)</formula>
    </cfRule>
    <cfRule type="expression" dxfId="54" priority="47">
      <formula>IF($C$4="Approve EPDP Recommendations",IF($F$31/$D$31&gt;0.5,1,0),0)</formula>
    </cfRule>
    <cfRule type="expression" dxfId="53" priority="48">
      <formula>IF($C$4="Approve EPDP Recommendations Imposing New Obligations on Certain Contracting Parties",IF($F$31/$D$31&gt;0.5,1,0),0)</formula>
    </cfRule>
    <cfRule type="expression" dxfId="52" priority="49">
      <formula>IF($C$4="Initiate GNSO Guidance Process (GGP)",IF($F$31/$D$31&gt;0.33,1,0),0)</formula>
    </cfRule>
    <cfRule type="expression" dxfId="51" priority="64">
      <formula>IF($C$4="Reject Initiation of GGP Requested by the ICANN Board",IF($F$31/$D$31&gt;0.5,1,0),0)</formula>
    </cfRule>
    <cfRule type="expression" dxfId="50" priority="66">
      <formula>IF($C$4="Approve GGP Recommendations",IF($F$31/$D$31&gt;0.5,1,0),0)</formula>
    </cfRule>
    <cfRule type="expression" dxfId="49" priority="68">
      <formula>IF($C$4="All Other (Default)",IF($F$31/$D$31&gt;0.5,1,0),0)</formula>
    </cfRule>
  </conditionalFormatting>
  <conditionalFormatting sqref="C32">
    <cfRule type="expression" dxfId="48" priority="1">
      <formula>IF($C$4="Create Issue Report",IF($F$32/$D$32&gt;0.25,1,0),0)</formula>
    </cfRule>
    <cfRule type="expression" dxfId="47" priority="2">
      <formula>IF($C$4="Initiate PDP Within Scope",IF($F$32/$D$32&gt;0.333,1,0),0)</formula>
    </cfRule>
    <cfRule type="expression" dxfId="46" priority="3">
      <formula>IF($C$4="Initiate PDP Not Within Scope",IF($F$32/$D$32&gt;0.5,1,0),0)</formula>
    </cfRule>
    <cfRule type="expression" dxfId="45" priority="4">
      <formula>IF($C$4="Approve PDP Team Charter for PDP Within Scope",IF($F$32/$D$32&gt;0.333,1,0),0)</formula>
    </cfRule>
    <cfRule type="expression" dxfId="44" priority="5">
      <formula>IF($C$4="Approve PDP Team Charter for PDP Not Within Scope",IF($F$32/$D$32&gt;0.5,1,0),0)</formula>
    </cfRule>
    <cfRule type="expression" dxfId="43" priority="6">
      <formula>IF($C$4="Amendment to an Approved PDP Team Charter",IF($F$32/$D$32&gt;0.5,1,0),0)</formula>
    </cfRule>
    <cfRule type="expression" dxfId="42" priority="7">
      <formula>IF($C$4="Terminate a PDP",IF($F$32/$D$32&gt;0.5,1,0),0)</formula>
    </cfRule>
    <cfRule type="expression" dxfId="41" priority="30">
      <formula>IF($C$4="Approve PDP Recommendation Without GNSO Super Majority",IF($F$32/$D$32&gt;0.5,1,0),0)</formula>
    </cfRule>
    <cfRule type="expression" dxfId="40" priority="34">
      <formula>IF($C$4="Approve PDP Recommendation With GNSO Super Majority",IF($F$32/$D$32&gt;0.5,1,0),0)</formula>
    </cfRule>
    <cfRule type="expression" dxfId="39" priority="35">
      <formula>IF($C$4="Approve PDP Recommendation Imposing New Obligations on Certain Contracting Parties",IF($F$32/$D$32&gt;0.5,1,0),0)</formula>
    </cfRule>
    <cfRule type="expression" dxfId="38" priority="36">
      <formula>IF($C$4="Modify or Amend an Approved PDP Recommendation",IF($F$32/$D$32&gt;0.5,1,0),0)</formula>
    </cfRule>
    <cfRule type="expression" dxfId="37" priority="37">
      <formula>IF($C$4="Initiate an Expedited PDP (EPDP)",IF($F$32/$D$32&gt;0.5,1,0),0)</formula>
    </cfRule>
    <cfRule type="expression" dxfId="36" priority="38">
      <formula>IF($C$4="Approve EPDP Charter",IF($F$32/$D$32&gt;0.5,1,0),0)</formula>
    </cfRule>
    <cfRule type="expression" dxfId="35" priority="39">
      <formula>IF($C$4="Approve EPDP Recommendations",IF($F$32/$D$32&gt;0.5,1,0),0)</formula>
    </cfRule>
    <cfRule type="expression" dxfId="34" priority="40">
      <formula>IF($C$4="Approve EPDP Recommendations Imposing New Obligations on Certain Contracting Parties",IF($F$32/$D$32&gt;0.5,1,0),0)</formula>
    </cfRule>
    <cfRule type="expression" dxfId="33" priority="41">
      <formula>IF($C$4="Initiate GNSO Guidance Process (GGP)",IF($F$32/$D$32&gt;0.33,1,0),0)</formula>
    </cfRule>
    <cfRule type="expression" dxfId="32" priority="63">
      <formula>IF($C$4="Reject Initiation of GGP Requested by the ICANN Board",IF($F$32/$D$32&gt;0.5,1,0),0)</formula>
    </cfRule>
    <cfRule type="expression" dxfId="31" priority="65">
      <formula>IF($C$4="Approve GGP Recommendations",IF($F$32/$D$32&gt;0.5,1,0),0)</formula>
    </cfRule>
    <cfRule type="expression" dxfId="30" priority="67">
      <formula>IF($C$4="All Other (Default)",IF($F$32/$D$32&gt;0.5,1,0),0)</formula>
    </cfRule>
  </conditionalFormatting>
  <conditionalFormatting sqref="C6:D6">
    <cfRule type="cellIs" dxfId="29" priority="28" operator="equal">
      <formula>"Fail"</formula>
    </cfRule>
    <cfRule type="cellIs" dxfId="28" priority="29" operator="equal">
      <formula>"Withdrawn"</formula>
    </cfRule>
    <cfRule type="cellIs" dxfId="27" priority="61" operator="equal">
      <formula>"Deferred"</formula>
    </cfRule>
    <cfRule type="cellIs" dxfId="26" priority="62" operator="equal">
      <formula>"Pass"</formula>
    </cfRule>
  </conditionalFormatting>
  <conditionalFormatting sqref="M4:M5">
    <cfRule type="expression" dxfId="25" priority="60">
      <formula>IF($C$4="Create Issue Report",1,0)</formula>
    </cfRule>
  </conditionalFormatting>
  <conditionalFormatting sqref="M6:M7">
    <cfRule type="expression" dxfId="24" priority="59">
      <formula>IF($C$4="Initiate PDP Within Scope",1,0)</formula>
    </cfRule>
  </conditionalFormatting>
  <conditionalFormatting sqref="M8:M9">
    <cfRule type="expression" dxfId="23" priority="58">
      <formula>IF($C$4="Initiate PDP Not Within Scope",1,0)</formula>
    </cfRule>
  </conditionalFormatting>
  <conditionalFormatting sqref="M10:M11">
    <cfRule type="expression" dxfId="22" priority="57">
      <formula>IF($C$4="Approve PDP Team Charter for PDP Within Scope",1,0)</formula>
    </cfRule>
  </conditionalFormatting>
  <conditionalFormatting sqref="M12:M13">
    <cfRule type="expression" dxfId="21" priority="56">
      <formula>IF($C$4="Approve PDP Team Charter for PDP Not Within Scope",1,0)</formula>
    </cfRule>
  </conditionalFormatting>
  <conditionalFormatting sqref="M14">
    <cfRule type="expression" dxfId="20" priority="55">
      <formula>IF($C$4="Amendment to an Approved PDP Team Charter",1,0)</formula>
    </cfRule>
  </conditionalFormatting>
  <conditionalFormatting sqref="M15:M16">
    <cfRule type="expression" dxfId="19" priority="54">
      <formula>IF($C$4="Terminate a PDP",1,0)</formula>
    </cfRule>
  </conditionalFormatting>
  <conditionalFormatting sqref="M17">
    <cfRule type="expression" dxfId="18" priority="53">
      <formula>IF($C$4="Approve PDP Recommendation Without GNSO Super Majority",1,0)</formula>
    </cfRule>
  </conditionalFormatting>
  <conditionalFormatting sqref="M18:M19">
    <cfRule type="expression" dxfId="17" priority="52">
      <formula>IF($C$4="Approve PDP Recommendation With GNSO Super Majority",1,0)</formula>
    </cfRule>
  </conditionalFormatting>
  <conditionalFormatting sqref="M20:M21">
    <cfRule type="expression" dxfId="16" priority="51">
      <formula>IF($C$4="Approve PDP Recommendation Imposing New Obligations on Certain Contracting Parties",1,0)</formula>
    </cfRule>
  </conditionalFormatting>
  <conditionalFormatting sqref="M22">
    <cfRule type="expression" dxfId="15" priority="50">
      <formula>IF($C$4="Modify or Amend an Approved PDP Recommendation",1,0)</formula>
    </cfRule>
  </conditionalFormatting>
  <conditionalFormatting sqref="M23">
    <cfRule type="expression" dxfId="14" priority="33">
      <formula>IF($C$4="Modify or Amend an Approved PDP Recommendation",1,0)</formula>
    </cfRule>
  </conditionalFormatting>
  <conditionalFormatting sqref="M38">
    <cfRule type="expression" dxfId="13" priority="32">
      <formula>IF($C$4="All Other (Default)",1,0)</formula>
    </cfRule>
  </conditionalFormatting>
  <conditionalFormatting sqref="M24">
    <cfRule type="expression" dxfId="12" priority="27">
      <formula>IF($C$4="Initiate an Expedited PDP (EPDP)",1,0)</formula>
    </cfRule>
  </conditionalFormatting>
  <conditionalFormatting sqref="M25">
    <cfRule type="expression" dxfId="11" priority="26">
      <formula>IF($C$4="Initiate an Expedited PDP (EPDP)",1,0)</formula>
    </cfRule>
  </conditionalFormatting>
  <conditionalFormatting sqref="M26">
    <cfRule type="expression" dxfId="10" priority="25">
      <formula>IF($C$4="Approve EPDP Charter",1,0)</formula>
    </cfRule>
  </conditionalFormatting>
  <conditionalFormatting sqref="M27">
    <cfRule type="expression" dxfId="9" priority="24">
      <formula>IF($C$4="Approve EPDP Charter",1,0)</formula>
    </cfRule>
  </conditionalFormatting>
  <conditionalFormatting sqref="M28">
    <cfRule type="expression" dxfId="8" priority="23">
      <formula>IF($C$4="Approve EPDP Recommendations",1,0)</formula>
    </cfRule>
  </conditionalFormatting>
  <conditionalFormatting sqref="M29">
    <cfRule type="expression" dxfId="7" priority="22">
      <formula>IF($C$4="Approve EPDP Recommendations",1,0)</formula>
    </cfRule>
  </conditionalFormatting>
  <conditionalFormatting sqref="M30">
    <cfRule type="expression" dxfId="6" priority="21">
      <formula>IF($C$4="Approve EPDP Recommendations Imposing New Obligations on Certain Contracting Parties",1,0)</formula>
    </cfRule>
  </conditionalFormatting>
  <conditionalFormatting sqref="M31">
    <cfRule type="expression" dxfId="5" priority="20">
      <formula>IF($C$4="Approve EPDP Recommendations Imposing New Obligations on Certain Contracting Parties",1,0)</formula>
    </cfRule>
  </conditionalFormatting>
  <conditionalFormatting sqref="M32:M33">
    <cfRule type="expression" dxfId="4" priority="19">
      <formula>IF($C$4="Initiate GNSO Guidance Process (GGP)",1,0)</formula>
    </cfRule>
  </conditionalFormatting>
  <conditionalFormatting sqref="M34">
    <cfRule type="expression" dxfId="3" priority="18">
      <formula>IF($C$4="Reject Initiation of GGP Requested by the ICANN Board",1,0)</formula>
    </cfRule>
  </conditionalFormatting>
  <conditionalFormatting sqref="M35">
    <cfRule type="expression" dxfId="2" priority="17">
      <formula>IF($C$4="Reject Initiation of GGP Requested by the ICANN Board",1,0)</formula>
    </cfRule>
  </conditionalFormatting>
  <conditionalFormatting sqref="M36">
    <cfRule type="expression" dxfId="1" priority="16">
      <formula>IF($C$4="Approve GGP Recommendations",1,0)</formula>
    </cfRule>
  </conditionalFormatting>
  <conditionalFormatting sqref="M37">
    <cfRule type="expression" dxfId="0" priority="15">
      <formula>IF($C$4="Approve GGP Recommendations",1,0)</formula>
    </cfRule>
  </conditionalFormatting>
  <dataValidations count="2">
    <dataValidation type="whole" allowBlank="1" showErrorMessage="1" errorTitle="Wrong Value" error="Must be 0, 1, or Blank" sqref="F9:I11">
      <formula1>0</formula1>
      <formula2>1</formula2>
    </dataValidation>
    <dataValidation type="whole" allowBlank="1" showInputMessage="1" showErrorMessage="1" errorTitle="Wrong Value" error="Must be 0, 1, or Blank" sqref="F12:I30">
      <formula1>0</formula1>
      <formula2>1</formula2>
    </dataValidation>
  </dataValidations>
  <pageMargins left="0.2" right="0.2" top="0.25" bottom="0.25" header="0.3" footer="0.3"/>
  <pageSetup scale="39" orientation="landscape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otion / Action Type:" prompt="Select the motion type based on what motion was submitted to the Council.">
          <x14:formula1>
            <xm:f>drop_down!$B$4:$B$23</xm:f>
          </x14:formula1>
          <xm:sqref>C4:I4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C4:E24"/>
  <sheetViews>
    <sheetView showGridLines="0" workbookViewId="0">
      <selection activeCell="C8" sqref="C8"/>
    </sheetView>
  </sheetViews>
  <sheetFormatPr defaultRowHeight="15"/>
  <cols>
    <col min="3" max="3" width="43.85546875" customWidth="1"/>
    <col min="4" max="5" width="12" customWidth="1"/>
  </cols>
  <sheetData>
    <row r="4" spans="3:5" ht="25.5" customHeight="1">
      <c r="C4" s="43" t="s">
        <v>15</v>
      </c>
      <c r="D4" s="39" t="s">
        <v>33</v>
      </c>
      <c r="E4" s="39" t="s">
        <v>41</v>
      </c>
    </row>
    <row r="5" spans="3:5" ht="15.75">
      <c r="C5" s="88" t="s">
        <v>34</v>
      </c>
      <c r="D5" s="84" t="s">
        <v>10</v>
      </c>
      <c r="E5" s="84" t="s">
        <v>11</v>
      </c>
    </row>
    <row r="6" spans="3:5" ht="15.75">
      <c r="C6" s="88" t="s">
        <v>19</v>
      </c>
      <c r="D6" s="84" t="s">
        <v>10</v>
      </c>
      <c r="E6" s="84" t="s">
        <v>1</v>
      </c>
    </row>
    <row r="7" spans="3:5" ht="15.75">
      <c r="C7" s="88" t="s">
        <v>17</v>
      </c>
      <c r="D7" s="84" t="s">
        <v>10</v>
      </c>
      <c r="E7" s="84" t="s">
        <v>1</v>
      </c>
    </row>
    <row r="8" spans="3:5" ht="15.75">
      <c r="C8" s="88" t="s">
        <v>112</v>
      </c>
      <c r="D8" s="84" t="s">
        <v>10</v>
      </c>
      <c r="E8" s="84" t="s">
        <v>1</v>
      </c>
    </row>
    <row r="9" spans="3:5" ht="15.75">
      <c r="C9" s="88" t="s">
        <v>21</v>
      </c>
      <c r="D9" s="84" t="s">
        <v>10</v>
      </c>
      <c r="E9" s="84" t="s">
        <v>0</v>
      </c>
    </row>
    <row r="10" spans="3:5" ht="15.75">
      <c r="C10" s="88" t="s">
        <v>35</v>
      </c>
      <c r="D10" s="84" t="s">
        <v>10</v>
      </c>
      <c r="E10" s="84" t="s">
        <v>0</v>
      </c>
    </row>
    <row r="11" spans="3:5" ht="15.75">
      <c r="C11" s="88" t="s">
        <v>36</v>
      </c>
      <c r="D11" s="84" t="s">
        <v>10</v>
      </c>
      <c r="E11" s="84" t="s">
        <v>0</v>
      </c>
    </row>
    <row r="12" spans="3:5" ht="15.75">
      <c r="C12" s="88" t="s">
        <v>84</v>
      </c>
      <c r="D12" s="85" t="s">
        <v>12</v>
      </c>
      <c r="E12" s="85" t="s">
        <v>11</v>
      </c>
    </row>
    <row r="13" spans="3:5" ht="15.75">
      <c r="C13" s="88" t="s">
        <v>27</v>
      </c>
      <c r="D13" s="85" t="s">
        <v>12</v>
      </c>
      <c r="E13" s="85" t="s">
        <v>2</v>
      </c>
    </row>
    <row r="14" spans="3:5" ht="15.75">
      <c r="C14" s="88" t="s">
        <v>26</v>
      </c>
      <c r="D14" s="85" t="s">
        <v>12</v>
      </c>
      <c r="E14" s="85" t="s">
        <v>2</v>
      </c>
    </row>
    <row r="15" spans="3:5" ht="15.75">
      <c r="C15" s="88" t="s">
        <v>25</v>
      </c>
      <c r="D15" s="85" t="s">
        <v>12</v>
      </c>
      <c r="E15" s="85" t="s">
        <v>2</v>
      </c>
    </row>
    <row r="16" spans="3:5" ht="15.75">
      <c r="C16" s="88" t="s">
        <v>38</v>
      </c>
      <c r="D16" s="85" t="s">
        <v>12</v>
      </c>
      <c r="E16" s="85" t="s">
        <v>2</v>
      </c>
    </row>
    <row r="17" spans="3:5" ht="15.75">
      <c r="C17" s="88" t="s">
        <v>39</v>
      </c>
      <c r="D17" s="85" t="s">
        <v>12</v>
      </c>
      <c r="E17" s="85" t="s">
        <v>2</v>
      </c>
    </row>
    <row r="18" spans="3:5" ht="15.75">
      <c r="C18" s="88" t="s">
        <v>40</v>
      </c>
      <c r="D18" s="85" t="s">
        <v>12</v>
      </c>
      <c r="E18" s="85" t="s">
        <v>2</v>
      </c>
    </row>
    <row r="19" spans="3:5" ht="15.75">
      <c r="C19" s="88" t="s">
        <v>18</v>
      </c>
      <c r="D19" s="85" t="s">
        <v>12</v>
      </c>
      <c r="E19" s="85" t="s">
        <v>3</v>
      </c>
    </row>
    <row r="20" spans="3:5" ht="15.75">
      <c r="C20" s="88" t="s">
        <v>20</v>
      </c>
      <c r="D20" s="85" t="s">
        <v>12</v>
      </c>
      <c r="E20" s="85" t="s">
        <v>3</v>
      </c>
    </row>
    <row r="21" spans="3:5" ht="15.75">
      <c r="C21" s="88" t="s">
        <v>22</v>
      </c>
      <c r="D21" s="85" t="s">
        <v>12</v>
      </c>
      <c r="E21" s="85" t="s">
        <v>3</v>
      </c>
    </row>
    <row r="22" spans="3:5" ht="15.75">
      <c r="C22" s="88" t="s">
        <v>37</v>
      </c>
      <c r="D22" s="85" t="s">
        <v>12</v>
      </c>
      <c r="E22" s="85" t="s">
        <v>3</v>
      </c>
    </row>
    <row r="23" spans="3:5" ht="15.75">
      <c r="C23" s="88" t="s">
        <v>24</v>
      </c>
      <c r="D23" s="85" t="s">
        <v>12</v>
      </c>
      <c r="E23" s="85" t="s">
        <v>3</v>
      </c>
    </row>
    <row r="24" spans="3:5" ht="15.75">
      <c r="C24" s="88" t="s">
        <v>23</v>
      </c>
      <c r="D24" s="85" t="s">
        <v>12</v>
      </c>
      <c r="E24" s="85" t="s">
        <v>3</v>
      </c>
    </row>
  </sheetData>
  <sheetProtection password="C991" sheet="1" objects="1" scenarios="1"/>
  <pageMargins left="0.2" right="0.2" top="0.25" bottom="0.2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Title</vt:lpstr>
      <vt:lpstr>Motion 1</vt:lpstr>
      <vt:lpstr>Motion 2</vt:lpstr>
      <vt:lpstr>Motion 3</vt:lpstr>
      <vt:lpstr>Motion 4</vt:lpstr>
      <vt:lpstr>Motion 5</vt:lpstr>
      <vt:lpstr>Motion 6</vt:lpstr>
      <vt:lpstr>Motion 7</vt:lpstr>
      <vt:lpstr>council_members</vt:lpstr>
      <vt:lpstr>drop_down</vt:lpstr>
      <vt:lpstr>admin</vt:lpstr>
      <vt:lpstr>notes</vt:lpstr>
      <vt:lpstr>Motion_Action_Type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</dc:creator>
  <cp:lastModifiedBy>Berry Cobb</cp:lastModifiedBy>
  <cp:lastPrinted>2016-09-30T00:36:05Z</cp:lastPrinted>
  <dcterms:created xsi:type="dcterms:W3CDTF">2009-09-22T19:44:52Z</dcterms:created>
  <dcterms:modified xsi:type="dcterms:W3CDTF">2016-10-14T16:40:04Z</dcterms:modified>
</cp:coreProperties>
</file>